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https://ahdbonline-my.sharepoint.com/personal/daniel_pitt_ahdb_org_uk/Documents/Documents/Work/ITB Conversions R/Excel files/"/>
    </mc:Choice>
  </mc:AlternateContent>
  <xr:revisionPtr revIDLastSave="1337" documentId="11_F25DC773A252ABDACC1048A4A11F77025BDE58E8" xr6:coauthVersionLast="47" xr6:coauthVersionMax="47" xr10:uidLastSave="{4A194290-F6FE-4843-B574-3C78DBA379BC}"/>
  <workbookProtection workbookAlgorithmName="SHA-512" workbookHashValue="wWx+sqjMSqNnDnkSqx/pEtLTujswPqq1pFiZlnOsamLtazM7rlVCvW0/AqYXiO0wHooTttqvvDfN00DjyFIjLw==" workbookSaltValue="m3zdVNs2Bngm6gdZiG5+kg==" workbookSpinCount="100000" lockStructure="1"/>
  <bookViews>
    <workbookView xWindow="-120" yWindow="-120" windowWidth="29040" windowHeight="17520" activeTab="1" xr2:uid="{00000000-000D-0000-FFFF-FFFF00000000}"/>
  </bookViews>
  <sheets>
    <sheet name="HOLtoFRI" sheetId="4" r:id="rId1"/>
    <sheet name="FRItoHOL" sheetId="15" r:id="rId2"/>
    <sheet name="Date" sheetId="5" state="hidden" r:id="rId3"/>
    <sheet name="PLI_REVs" sheetId="7" state="hidden" r:id="rId4"/>
    <sheet name="Type" sheetId="2" state="hidden" r:id="rId5"/>
    <sheet name="Type calc" sheetId="11" state="hidden" r:id="rId6"/>
    <sheet name="TMWeights" sheetId="13" state="hidden" r:id="rId7"/>
    <sheet name="TMWeightings" sheetId="14" state="hidden" r:id="rId8"/>
    <sheet name="Production" sheetId="3" state="hidden" r:id="rId9"/>
    <sheet name="Production calc" sheetId="9" state="hidden" r:id="rId10"/>
  </sheets>
  <externalReferences>
    <externalReference r:id="rId11"/>
  </externalReferences>
  <definedNames>
    <definedName name="a">INDEX([1]Breeds!$B:$B, MATCH([1]Input!$AC$10,[1]Breeds!$A:$A,0))</definedName>
    <definedName name="BreedPic" localSheetId="1">INDEX([1]Breeds!$B:$B, MATCH(FRItoHOL!$AI$10,[1]Breeds!$A:$A,0))</definedName>
    <definedName name="BreedPic">INDEX([1]Breeds!$B:$B, MATCH(HOLtoFRI!$AI$10,[1]Breeds!$A:$A,0))</definedName>
    <definedName name="Flag" localSheetId="1">INDEX([1]Countries!$B:$B,MATCH(FRItoHOL!$AG$10,[1]Countries!$A:$A,0))</definedName>
    <definedName name="Flag">INDEX([1]Countries!$B:$B,MATCH(HOLtoFRI!$AG$10,[1]Countries!$A:$A,0))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1" l="1"/>
  <c r="G2" i="11"/>
  <c r="R2" i="4" l="1"/>
  <c r="AB22" i="15" l="1" a="1"/>
  <c r="AB22" i="15" s="1"/>
  <c r="Q10" i="7"/>
  <c r="R10" i="7"/>
  <c r="W10" i="7"/>
  <c r="AB22" i="4" a="1"/>
  <c r="AB22" i="4" s="1"/>
  <c r="F23" i="9"/>
  <c r="F22" i="9"/>
  <c r="F21" i="9"/>
  <c r="F20" i="9"/>
  <c r="F19" i="9"/>
  <c r="F17" i="9"/>
  <c r="F16" i="9"/>
  <c r="F15" i="9"/>
  <c r="F14" i="9"/>
  <c r="F8" i="9"/>
  <c r="F7" i="9"/>
  <c r="F6" i="9"/>
  <c r="F5" i="9"/>
  <c r="F4" i="9"/>
  <c r="F3" i="9"/>
  <c r="F2" i="9"/>
  <c r="I22" i="15"/>
  <c r="Z22" i="15"/>
  <c r="Y22" i="15"/>
  <c r="X22" i="15"/>
  <c r="I9" i="7" s="1"/>
  <c r="I10" i="7" s="1"/>
  <c r="V22" i="15"/>
  <c r="U22" i="15"/>
  <c r="T22" i="15"/>
  <c r="S22" i="15"/>
  <c r="R22" i="15"/>
  <c r="Q22" i="15"/>
  <c r="O22" i="15"/>
  <c r="M22" i="15"/>
  <c r="L22" i="15"/>
  <c r="J22" i="15"/>
  <c r="G22" i="15"/>
  <c r="F25" i="11"/>
  <c r="F24" i="11"/>
  <c r="F23" i="11"/>
  <c r="F22" i="11"/>
  <c r="F21" i="11"/>
  <c r="F20" i="11"/>
  <c r="F19" i="11"/>
  <c r="F17" i="11"/>
  <c r="F16" i="11"/>
  <c r="F15" i="11"/>
  <c r="F14" i="11"/>
  <c r="F13" i="11"/>
  <c r="F12" i="11"/>
  <c r="F11" i="11"/>
  <c r="F10" i="11"/>
  <c r="F8" i="11"/>
  <c r="F7" i="11"/>
  <c r="F6" i="11"/>
  <c r="F5" i="11"/>
  <c r="F4" i="11"/>
  <c r="F3" i="11"/>
  <c r="F2" i="11"/>
  <c r="N14" i="15"/>
  <c r="U9" i="7" s="1"/>
  <c r="U10" i="7" s="1"/>
  <c r="G3" i="15"/>
  <c r="R2" i="15"/>
  <c r="T14" i="4"/>
  <c r="S14" i="4"/>
  <c r="R14" i="4"/>
  <c r="O14" i="4"/>
  <c r="N14" i="4"/>
  <c r="M14" i="4"/>
  <c r="Z22" i="4"/>
  <c r="Y22" i="4"/>
  <c r="X22" i="4"/>
  <c r="V22" i="4"/>
  <c r="U22" i="4"/>
  <c r="T22" i="4"/>
  <c r="S22" i="4"/>
  <c r="R22" i="4"/>
  <c r="Q22" i="4"/>
  <c r="P22" i="4"/>
  <c r="O22" i="4"/>
  <c r="M22" i="4"/>
  <c r="L22" i="4"/>
  <c r="J22" i="4"/>
  <c r="I22" i="4"/>
  <c r="E22" i="4"/>
  <c r="B14" i="14"/>
  <c r="B8" i="14"/>
  <c r="I14" i="14" l="1"/>
  <c r="H14" i="14"/>
  <c r="G14" i="14"/>
  <c r="F14" i="14"/>
  <c r="E14" i="14"/>
  <c r="D14" i="14"/>
  <c r="C14" i="14"/>
  <c r="K9" i="14" l="1"/>
  <c r="J9" i="14"/>
  <c r="I9" i="14"/>
  <c r="H9" i="14"/>
  <c r="G9" i="14"/>
  <c r="F9" i="14"/>
  <c r="E9" i="14"/>
  <c r="D9" i="14"/>
  <c r="C9" i="14"/>
  <c r="B9" i="14"/>
  <c r="K8" i="14"/>
  <c r="J8" i="14"/>
  <c r="I8" i="14"/>
  <c r="I15" i="14" s="1"/>
  <c r="H8" i="14"/>
  <c r="H15" i="14" s="1"/>
  <c r="G8" i="14"/>
  <c r="G15" i="14" s="1"/>
  <c r="F8" i="14"/>
  <c r="F15" i="14" s="1"/>
  <c r="E8" i="14"/>
  <c r="E15" i="14" s="1"/>
  <c r="D8" i="14"/>
  <c r="D15" i="14" s="1"/>
  <c r="C8" i="14"/>
  <c r="C15" i="14" s="1"/>
  <c r="B15" i="14"/>
  <c r="Q13" i="7"/>
  <c r="R13" i="7"/>
  <c r="W13" i="7"/>
  <c r="D24" i="11"/>
  <c r="D20" i="11"/>
  <c r="D19" i="11"/>
  <c r="D22" i="11"/>
  <c r="D23" i="11"/>
  <c r="D21" i="11"/>
  <c r="D25" i="11"/>
  <c r="D17" i="11"/>
  <c r="D16" i="11"/>
  <c r="D15" i="11"/>
  <c r="D14" i="11"/>
  <c r="D13" i="11"/>
  <c r="D12" i="11"/>
  <c r="D11" i="11"/>
  <c r="D10" i="11"/>
  <c r="D8" i="11"/>
  <c r="D7" i="11"/>
  <c r="D6" i="11"/>
  <c r="D5" i="11"/>
  <c r="D4" i="11"/>
  <c r="D3" i="11"/>
  <c r="D2" i="11"/>
  <c r="D23" i="9"/>
  <c r="E23" i="9" s="1"/>
  <c r="V12" i="7" s="1"/>
  <c r="V13" i="7" s="1"/>
  <c r="D22" i="9"/>
  <c r="E22" i="9" s="1"/>
  <c r="AB14" i="4" s="1"/>
  <c r="D21" i="9"/>
  <c r="D20" i="9"/>
  <c r="D19" i="9"/>
  <c r="D17" i="9"/>
  <c r="D16" i="9"/>
  <c r="D15" i="9"/>
  <c r="D14" i="9"/>
  <c r="U12" i="7"/>
  <c r="U13" i="7" s="1"/>
  <c r="C11" i="9"/>
  <c r="D8" i="9"/>
  <c r="D7" i="9"/>
  <c r="D6" i="9"/>
  <c r="D5" i="9"/>
  <c r="D4" i="9"/>
  <c r="D3" i="9"/>
  <c r="D2" i="9"/>
  <c r="C7" i="9"/>
  <c r="G23" i="9"/>
  <c r="O14" i="15" s="1"/>
  <c r="V9" i="7" s="1"/>
  <c r="V10" i="7" s="1"/>
  <c r="G22" i="9"/>
  <c r="AB14" i="15" s="1"/>
  <c r="L15" i="14" l="1"/>
  <c r="D18" i="11" s="1"/>
  <c r="B3" i="11" l="1"/>
  <c r="C3" i="11"/>
  <c r="B4" i="11"/>
  <c r="C4" i="11"/>
  <c r="B5" i="11"/>
  <c r="C5" i="11"/>
  <c r="B6" i="11"/>
  <c r="C6" i="11"/>
  <c r="B7" i="11"/>
  <c r="C7" i="11"/>
  <c r="B8" i="11"/>
  <c r="C8" i="11"/>
  <c r="B9" i="11"/>
  <c r="C9" i="11"/>
  <c r="B10" i="11"/>
  <c r="C10" i="11"/>
  <c r="B11" i="11"/>
  <c r="C11" i="11"/>
  <c r="B12" i="11"/>
  <c r="C12" i="11"/>
  <c r="B13" i="11"/>
  <c r="C13" i="11"/>
  <c r="B14" i="11"/>
  <c r="C14" i="11"/>
  <c r="B15" i="11"/>
  <c r="C15" i="11"/>
  <c r="B16" i="11"/>
  <c r="C16" i="11"/>
  <c r="B17" i="11"/>
  <c r="C17" i="11"/>
  <c r="B18" i="11"/>
  <c r="C18" i="11"/>
  <c r="B19" i="11"/>
  <c r="C19" i="11"/>
  <c r="B20" i="11"/>
  <c r="C20" i="11"/>
  <c r="B21" i="11"/>
  <c r="C21" i="11"/>
  <c r="B22" i="11"/>
  <c r="C22" i="11"/>
  <c r="B23" i="11"/>
  <c r="C23" i="11"/>
  <c r="B24" i="11"/>
  <c r="C24" i="11"/>
  <c r="B25" i="11"/>
  <c r="C25" i="11"/>
  <c r="C2" i="11"/>
  <c r="B2" i="11"/>
  <c r="E21" i="9"/>
  <c r="AA14" i="4" s="1"/>
  <c r="G21" i="9"/>
  <c r="AA14" i="15" s="1"/>
  <c r="C3" i="9"/>
  <c r="E3" i="9" s="1"/>
  <c r="C4" i="9"/>
  <c r="E4" i="9" s="1"/>
  <c r="C5" i="9"/>
  <c r="E5" i="9" s="1"/>
  <c r="H14" i="4" s="1"/>
  <c r="C6" i="9"/>
  <c r="E6" i="9" s="1"/>
  <c r="I14" i="4" s="1"/>
  <c r="G7" i="9"/>
  <c r="K14" i="15" s="1"/>
  <c r="F9" i="7" s="1"/>
  <c r="F10" i="7" s="1"/>
  <c r="C8" i="9"/>
  <c r="G8" i="9" s="1"/>
  <c r="L14" i="15" s="1"/>
  <c r="G9" i="7" s="1"/>
  <c r="G10" i="7" s="1"/>
  <c r="G14" i="9"/>
  <c r="M14" i="15" s="1"/>
  <c r="H9" i="7" s="1"/>
  <c r="H10" i="7" s="1"/>
  <c r="G19" i="9"/>
  <c r="Q14" i="15" s="1"/>
  <c r="L9" i="7" s="1"/>
  <c r="L10" i="7" s="1"/>
  <c r="C9" i="9"/>
  <c r="G9" i="9" s="1"/>
  <c r="C10" i="9"/>
  <c r="E10" i="9" s="1"/>
  <c r="E15" i="9"/>
  <c r="N12" i="7" s="1"/>
  <c r="N13" i="7" s="1"/>
  <c r="E16" i="9"/>
  <c r="O12" i="7" s="1"/>
  <c r="O13" i="7" s="1"/>
  <c r="G20" i="9"/>
  <c r="X14" i="15" s="1"/>
  <c r="P9" i="7" s="1"/>
  <c r="P10" i="7" s="1"/>
  <c r="G11" i="9"/>
  <c r="E17" i="9"/>
  <c r="T12" i="7" s="1"/>
  <c r="T13" i="7" s="1"/>
  <c r="C12" i="9"/>
  <c r="E12" i="9" s="1"/>
  <c r="C2" i="9"/>
  <c r="E2" i="9" s="1"/>
  <c r="G9" i="11" l="1"/>
  <c r="E22" i="15"/>
  <c r="I17" i="14" s="1"/>
  <c r="I18" i="14" s="1"/>
  <c r="E22" i="11"/>
  <c r="E18" i="11"/>
  <c r="E14" i="11"/>
  <c r="E10" i="11"/>
  <c r="E6" i="11"/>
  <c r="G17" i="11"/>
  <c r="G21" i="11"/>
  <c r="G5" i="11"/>
  <c r="H22" i="15" s="1"/>
  <c r="B17" i="14" s="1"/>
  <c r="B18" i="14" s="1"/>
  <c r="G25" i="11"/>
  <c r="G13" i="11"/>
  <c r="G3" i="11"/>
  <c r="F22" i="15" s="1"/>
  <c r="D17" i="14" s="1"/>
  <c r="D18" i="14" s="1"/>
  <c r="E17" i="11"/>
  <c r="E9" i="11"/>
  <c r="G24" i="11"/>
  <c r="G20" i="11"/>
  <c r="V14" i="15" s="1"/>
  <c r="J9" i="7" s="1"/>
  <c r="J10" i="7" s="1"/>
  <c r="G16" i="11"/>
  <c r="G12" i="11"/>
  <c r="P22" i="15" s="1"/>
  <c r="G8" i="11"/>
  <c r="G4" i="11"/>
  <c r="E23" i="11"/>
  <c r="E19" i="11"/>
  <c r="W14" i="4" s="1"/>
  <c r="K12" i="7" s="1"/>
  <c r="K13" i="7" s="1"/>
  <c r="E15" i="11"/>
  <c r="E11" i="11"/>
  <c r="E7" i="11"/>
  <c r="G15" i="11"/>
  <c r="E24" i="11"/>
  <c r="E20" i="11"/>
  <c r="V14" i="4" s="1"/>
  <c r="J12" i="7" s="1"/>
  <c r="J13" i="7" s="1"/>
  <c r="E16" i="11"/>
  <c r="E12" i="11"/>
  <c r="E8" i="11"/>
  <c r="E4" i="11"/>
  <c r="G22" i="4" s="1"/>
  <c r="E3" i="11"/>
  <c r="F22" i="4" s="1"/>
  <c r="G7" i="11"/>
  <c r="G19" i="11"/>
  <c r="W14" i="15" s="1"/>
  <c r="G14" i="11"/>
  <c r="G10" i="11"/>
  <c r="G6" i="11"/>
  <c r="G23" i="11"/>
  <c r="G11" i="11"/>
  <c r="G22" i="11"/>
  <c r="Y14" i="15" s="1"/>
  <c r="S9" i="7" s="1"/>
  <c r="S10" i="7" s="1"/>
  <c r="G18" i="11"/>
  <c r="E25" i="11"/>
  <c r="E21" i="11"/>
  <c r="I12" i="7" s="1"/>
  <c r="I13" i="7" s="1"/>
  <c r="E13" i="11"/>
  <c r="E5" i="11"/>
  <c r="H22" i="4" s="1"/>
  <c r="G14" i="4"/>
  <c r="E12" i="7" s="1"/>
  <c r="E13" i="7" s="1"/>
  <c r="E14" i="4"/>
  <c r="C12" i="7" s="1"/>
  <c r="C13" i="7" s="1"/>
  <c r="F14" i="4"/>
  <c r="D12" i="7" s="1"/>
  <c r="D13" i="7" s="1"/>
  <c r="Y14" i="4"/>
  <c r="S12" i="7" s="1"/>
  <c r="S13" i="7" s="1"/>
  <c r="G12" i="9"/>
  <c r="G10" i="9"/>
  <c r="G4" i="9"/>
  <c r="G14" i="15" s="1"/>
  <c r="E9" i="7" s="1"/>
  <c r="E10" i="7" s="1"/>
  <c r="G2" i="9"/>
  <c r="E14" i="15" s="1"/>
  <c r="C9" i="7" s="1"/>
  <c r="C10" i="7" s="1"/>
  <c r="G16" i="9"/>
  <c r="S14" i="15" s="1"/>
  <c r="O9" i="7" s="1"/>
  <c r="O10" i="7" s="1"/>
  <c r="G15" i="9"/>
  <c r="R14" i="15" s="1"/>
  <c r="N9" i="7" s="1"/>
  <c r="N10" i="7" s="1"/>
  <c r="G6" i="9"/>
  <c r="I14" i="15" s="1"/>
  <c r="G17" i="14" s="1"/>
  <c r="G18" i="14" s="1"/>
  <c r="G5" i="9"/>
  <c r="H14" i="15" s="1"/>
  <c r="G3" i="9"/>
  <c r="F14" i="15" s="1"/>
  <c r="D9" i="7" s="1"/>
  <c r="D10" i="7" s="1"/>
  <c r="G17" i="9"/>
  <c r="T14" i="15" s="1"/>
  <c r="T9" i="7" s="1"/>
  <c r="T10" i="7" s="1"/>
  <c r="E11" i="9"/>
  <c r="E9" i="9"/>
  <c r="E19" i="9"/>
  <c r="Q14" i="4" s="1"/>
  <c r="E14" i="9"/>
  <c r="H12" i="7" s="1"/>
  <c r="H13" i="7" s="1"/>
  <c r="E20" i="9"/>
  <c r="E8" i="9"/>
  <c r="E7" i="9"/>
  <c r="F17" i="14" l="1"/>
  <c r="F18" i="14" s="1"/>
  <c r="X14" i="4"/>
  <c r="P12" i="7" s="1"/>
  <c r="P13" i="7" s="1"/>
  <c r="K9" i="7"/>
  <c r="K10" i="7" s="1"/>
  <c r="X10" i="7" s="1"/>
  <c r="AD12" i="15" s="1"/>
  <c r="E17" i="14"/>
  <c r="E18" i="14" s="1"/>
  <c r="L14" i="4"/>
  <c r="G12" i="7" s="1"/>
  <c r="G13" i="7" s="1"/>
  <c r="K14" i="4"/>
  <c r="F12" i="7" s="1"/>
  <c r="F13" i="7" s="1"/>
  <c r="L12" i="7"/>
  <c r="L13" i="7" s="1"/>
  <c r="L18" i="14" l="1"/>
  <c r="X13" i="7"/>
  <c r="AD12" i="4" s="1"/>
  <c r="G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<sst xmlns="http://schemas.openxmlformats.org/spreadsheetml/2006/main" count="505" uniqueCount="306">
  <si>
    <t>Production</t>
  </si>
  <si>
    <t>Health</t>
  </si>
  <si>
    <t>Fertility</t>
  </si>
  <si>
    <t>Conformation</t>
  </si>
  <si>
    <t>Milk (kg)</t>
  </si>
  <si>
    <t>Fat (kg)</t>
  </si>
  <si>
    <t>Prot. (kg)</t>
  </si>
  <si>
    <t>Fat (%)</t>
  </si>
  <si>
    <t>Prot. (%)</t>
  </si>
  <si>
    <t>Lifespan</t>
  </si>
  <si>
    <t>SCC</t>
  </si>
  <si>
    <t>Mastitis</t>
  </si>
  <si>
    <t>FI</t>
  </si>
  <si>
    <t>NR</t>
  </si>
  <si>
    <t>CI</t>
  </si>
  <si>
    <t>dCE</t>
  </si>
  <si>
    <t>mCE</t>
  </si>
  <si>
    <t>F&amp;L</t>
  </si>
  <si>
    <t>Udder</t>
  </si>
  <si>
    <t>Maint.</t>
  </si>
  <si>
    <t>BCS</t>
  </si>
  <si>
    <t>HOL</t>
  </si>
  <si>
    <t>£PLI</t>
  </si>
  <si>
    <t>ST</t>
  </si>
  <si>
    <t>CW</t>
  </si>
  <si>
    <t>BD</t>
  </si>
  <si>
    <t>ANG</t>
  </si>
  <si>
    <t>RA</t>
  </si>
  <si>
    <t>RW</t>
  </si>
  <si>
    <t>RLS</t>
  </si>
  <si>
    <t>FA</t>
  </si>
  <si>
    <t>FUA</t>
  </si>
  <si>
    <t>RUH</t>
  </si>
  <si>
    <t>CL</t>
  </si>
  <si>
    <t>UD</t>
  </si>
  <si>
    <t>FTP</t>
  </si>
  <si>
    <t>RTP</t>
  </si>
  <si>
    <t>TL</t>
  </si>
  <si>
    <t>LOC</t>
  </si>
  <si>
    <t>MSP</t>
  </si>
  <si>
    <t>TEMP</t>
  </si>
  <si>
    <t>TM</t>
  </si>
  <si>
    <t>Current Date</t>
  </si>
  <si>
    <t>Warning</t>
  </si>
  <si>
    <t>Expiry Date</t>
  </si>
  <si>
    <t>WARNING: This conversion sheet is now out of date! Please contact AHDB Dairy Genetics team for an updated version.</t>
  </si>
  <si>
    <t>Trait</t>
  </si>
  <si>
    <t>Trait_Heritability</t>
  </si>
  <si>
    <t>Trait_Description</t>
  </si>
  <si>
    <t>TraitNameFromTypeCDN</t>
  </si>
  <si>
    <t>ID</t>
  </si>
  <si>
    <t>FRI_BaseConversionFactor_A</t>
  </si>
  <si>
    <t>FRI_BaseConversionFactor_B</t>
  </si>
  <si>
    <t>datLastUpdated</t>
  </si>
  <si>
    <t xml:space="preserve">ST        </t>
  </si>
  <si>
    <t>Stature</t>
  </si>
  <si>
    <t xml:space="preserve">sta       </t>
  </si>
  <si>
    <t xml:space="preserve">CW        </t>
  </si>
  <si>
    <t xml:space="preserve">Chest width </t>
  </si>
  <si>
    <t xml:space="preserve">cw        </t>
  </si>
  <si>
    <t xml:space="preserve">BD        </t>
  </si>
  <si>
    <t>Body depth</t>
  </si>
  <si>
    <t xml:space="preserve">bd        </t>
  </si>
  <si>
    <t xml:space="preserve">ANG       </t>
  </si>
  <si>
    <t>Angularity</t>
  </si>
  <si>
    <t xml:space="preserve">ang       </t>
  </si>
  <si>
    <t xml:space="preserve">RA        </t>
  </si>
  <si>
    <t xml:space="preserve">Rump angle </t>
  </si>
  <si>
    <t xml:space="preserve">ra        </t>
  </si>
  <si>
    <t xml:space="preserve">RW        </t>
  </si>
  <si>
    <t xml:space="preserve">Rump width </t>
  </si>
  <si>
    <t xml:space="preserve">rw        </t>
  </si>
  <si>
    <t xml:space="preserve">RLS       </t>
  </si>
  <si>
    <t>Rear leg set</t>
  </si>
  <si>
    <t xml:space="preserve">rls       </t>
  </si>
  <si>
    <t xml:space="preserve">RLRV      </t>
  </si>
  <si>
    <t xml:space="preserve">Rear leg rear view </t>
  </si>
  <si>
    <t>NULL</t>
  </si>
  <si>
    <t xml:space="preserve">FA        </t>
  </si>
  <si>
    <t xml:space="preserve">Foot angle </t>
  </si>
  <si>
    <t xml:space="preserve">fa        </t>
  </si>
  <si>
    <t xml:space="preserve">FUA       </t>
  </si>
  <si>
    <t xml:space="preserve">Fore udder </t>
  </si>
  <si>
    <t xml:space="preserve">fua       </t>
  </si>
  <si>
    <t xml:space="preserve">RUH       </t>
  </si>
  <si>
    <t xml:space="preserve">Rear udder height </t>
  </si>
  <si>
    <t xml:space="preserve">ruh       </t>
  </si>
  <si>
    <t xml:space="preserve">CL        </t>
  </si>
  <si>
    <t xml:space="preserve">Udder support </t>
  </si>
  <si>
    <t xml:space="preserve">us        </t>
  </si>
  <si>
    <t xml:space="preserve">UD        </t>
  </si>
  <si>
    <t xml:space="preserve">Udder depth </t>
  </si>
  <si>
    <t xml:space="preserve">ud        </t>
  </si>
  <si>
    <t xml:space="preserve">FTP       </t>
  </si>
  <si>
    <t>Front teat placement</t>
  </si>
  <si>
    <t xml:space="preserve">ftp       </t>
  </si>
  <si>
    <t xml:space="preserve">TL        </t>
  </si>
  <si>
    <t xml:space="preserve">Teat length </t>
  </si>
  <si>
    <t xml:space="preserve">tl        </t>
  </si>
  <si>
    <t xml:space="preserve">RTP       </t>
  </si>
  <si>
    <t xml:space="preserve">Rear teat placement </t>
  </si>
  <si>
    <t xml:space="preserve">rtp       </t>
  </si>
  <si>
    <t xml:space="preserve">OCS       </t>
  </si>
  <si>
    <t>Overall conformation score</t>
  </si>
  <si>
    <t xml:space="preserve">tm        </t>
  </si>
  <si>
    <t xml:space="preserve">OUS       </t>
  </si>
  <si>
    <t xml:space="preserve">Overall udder score </t>
  </si>
  <si>
    <t xml:space="preserve">mam       </t>
  </si>
  <si>
    <t xml:space="preserve">OFLS      </t>
  </si>
  <si>
    <t xml:space="preserve">Overall feet &amp; leg score </t>
  </si>
  <si>
    <t xml:space="preserve">lf        </t>
  </si>
  <si>
    <t xml:space="preserve">LOCO      </t>
  </si>
  <si>
    <t>Locomotion</t>
  </si>
  <si>
    <t xml:space="preserve">loc       </t>
  </si>
  <si>
    <t xml:space="preserve">BCS       </t>
  </si>
  <si>
    <t xml:space="preserve">Body condition score </t>
  </si>
  <si>
    <t xml:space="preserve">cs        </t>
  </si>
  <si>
    <t xml:space="preserve">MSP       </t>
  </si>
  <si>
    <t>Milkability</t>
  </si>
  <si>
    <t xml:space="preserve">eom       </t>
  </si>
  <si>
    <t xml:space="preserve">TE        </t>
  </si>
  <si>
    <t>Temperament</t>
  </si>
  <si>
    <t xml:space="preserve">tem       </t>
  </si>
  <si>
    <t xml:space="preserve">TPS       </t>
  </si>
  <si>
    <t>Teat position side</t>
  </si>
  <si>
    <t xml:space="preserve">tps       </t>
  </si>
  <si>
    <t>FRI</t>
  </si>
  <si>
    <t>Index_Type</t>
  </si>
  <si>
    <t>SCALER</t>
  </si>
  <si>
    <t>PLI</t>
  </si>
  <si>
    <t>select * from Type_Evaluations.[dbo].[TRAIT_LIST] order by id</t>
  </si>
  <si>
    <t>Milk</t>
  </si>
  <si>
    <t>Fat</t>
  </si>
  <si>
    <t>Prot</t>
  </si>
  <si>
    <t>Mast</t>
  </si>
  <si>
    <t>Loco</t>
  </si>
  <si>
    <t>Feet_Legs</t>
  </si>
  <si>
    <t>Mammary</t>
  </si>
  <si>
    <t>NR56</t>
  </si>
  <si>
    <t>direct_CE</t>
  </si>
  <si>
    <t>maternal_CE</t>
  </si>
  <si>
    <t>Efficiency</t>
  </si>
  <si>
    <t>DailyCarcassGain</t>
  </si>
  <si>
    <t>ConformationCarcass</t>
  </si>
  <si>
    <t>BodyConditionScore</t>
  </si>
  <si>
    <t>CalfSurvival</t>
  </si>
  <si>
    <t>Lameness</t>
  </si>
  <si>
    <t>DigitalDermatitis</t>
  </si>
  <si>
    <t>WastedFeed</t>
  </si>
  <si>
    <t>chrValue</t>
  </si>
  <si>
    <t>BULL_CALVING_INTERVAL_INDEX_FRI_BASE_ADJUSTMENT_WEIGHT</t>
  </si>
  <si>
    <t>BULL_NON_RETURN_INDEX_FRI_BASE_ADJUSTMENT_WEIGHT</t>
  </si>
  <si>
    <t>BULL_PTA_FAT_LAC_ALL_FRI_BASE_ADJUSTMENT_WEIGHT</t>
  </si>
  <si>
    <t>BULL_PTA_FAT_PERC_LAC_ALL_FRI_BASE_ADJUSTMENT_WEIGHT</t>
  </si>
  <si>
    <t>BULL_PTA_GestationLength_FRI_BASE_ADJUSTMENT_WEIGHT</t>
  </si>
  <si>
    <t>BULL_PTA_LAMENESS_FRI_BASE_ADJUSTMENT_WEIGHT</t>
  </si>
  <si>
    <t>BULL_PTA_LIFESPAN_FRI_BASE_ADJUSTMENT_WEIGHT</t>
  </si>
  <si>
    <t>BULL_PTA_MILK_LAC_ALL_FRI_BASE_ADJUSTMENT_WEIGHT</t>
  </si>
  <si>
    <t>BULL_PTA_PROTEIN_LAC_ALL_FRI_BASE_ADJUSTMENT_WEIGHT</t>
  </si>
  <si>
    <t>BULL_PTA_PROTEIN_PERC_LAC_ALL_FRI_BASE_ADJUSTMENT_WEIGHT</t>
  </si>
  <si>
    <t>BULL_PTA_SCC_FRI_BASE_ADJUSTMENT_WEIGHT</t>
  </si>
  <si>
    <t>COW_PTA_FAT_LAC_ALL_FRI_BASE_ADJUSTMENT_WEIGHT</t>
  </si>
  <si>
    <t>COW_PTA_FAT_PERC_LAC_ALL_FRI_BASE_ADJUSTMENT_WEIGHT</t>
  </si>
  <si>
    <t>COW_PTA_GestationLength_FRI_BASE_ADJUSTMENT_WEIGHT</t>
  </si>
  <si>
    <t>COW_PTA_LAMENESS_FRI_BASE_ADJUSTMENT_WEIGHT</t>
  </si>
  <si>
    <t>COW_PTA_LIFESPAN_FRI_BASE_ADJUSTMENT_WEIGHT</t>
  </si>
  <si>
    <t>COW_PTA_MILK_LAC_ALL_FRI_BASE_ADJUSTMENT_WEIGHT</t>
  </si>
  <si>
    <t>COW_PTA_PROTEIN_LAC_ALL_FRI_BASE_ADJUSTMENT_WEIGHT</t>
  </si>
  <si>
    <t>COW_PTA_PROTEIN_PERC_LAC_ALL_FRI_BASE_ADJUSTMENT_WEIGHT</t>
  </si>
  <si>
    <t>COW_PTA_SCC_FRI_BASE_ADJUSTMENT_WEIGHT</t>
  </si>
  <si>
    <t>EnviroCow_Standardisation_factor_FRI</t>
  </si>
  <si>
    <t>select * from DairySystem.dbo.tblSystemVariable where chrKey like '%FRI%'</t>
  </si>
  <si>
    <t>Fat per</t>
  </si>
  <si>
    <t>Prot per</t>
  </si>
  <si>
    <t>Scc</t>
  </si>
  <si>
    <t>Maint</t>
  </si>
  <si>
    <t>A</t>
  </si>
  <si>
    <t>B</t>
  </si>
  <si>
    <t>calc</t>
  </si>
  <si>
    <t>VLOOKUP</t>
  </si>
  <si>
    <t>Calf Survival</t>
  </si>
  <si>
    <t>GestationLength</t>
  </si>
  <si>
    <t>calcFRI</t>
  </si>
  <si>
    <t>calcHOL</t>
  </si>
  <si>
    <t>inHOL</t>
  </si>
  <si>
    <t>inFRI</t>
  </si>
  <si>
    <t>Not used?</t>
  </si>
  <si>
    <t>Trait not adjusted</t>
  </si>
  <si>
    <t>EnviroCow</t>
  </si>
  <si>
    <t>Manually found average difference in TSOR.SBR (See textbox)</t>
  </si>
  <si>
    <t>select * from SAC_Output.dbo.[PLI_REVs_ForSCI] where Index_Type = 'PLI' and Ev_Group_Code in ('FRI','HOL')</t>
  </si>
  <si>
    <t>Calf Surv.</t>
  </si>
  <si>
    <t>DD</t>
  </si>
  <si>
    <t>TM?</t>
  </si>
  <si>
    <t>?</t>
  </si>
  <si>
    <t>Feed Adv.?</t>
  </si>
  <si>
    <t>HealthyCow</t>
  </si>
  <si>
    <t>Digital Dermatitis</t>
  </si>
  <si>
    <t>Enviro Cow</t>
  </si>
  <si>
    <t>Healthy Cow</t>
  </si>
  <si>
    <t>Use FI estimate below</t>
  </si>
  <si>
    <t>Removed while it's 0</t>
  </si>
  <si>
    <t>LS (DAYS)</t>
  </si>
  <si>
    <t>TYPE_AYR_CALCULATE_OCS_USING_WEIGHT_OF_ANG</t>
  </si>
  <si>
    <t>TYPE_AYR_CALCULATE_OCS_USING_WEIGHT_OF_BD</t>
  </si>
  <si>
    <t>TYPE_AYR_CALCULATE_OCS_USING_WEIGHT_OF_CW</t>
  </si>
  <si>
    <t>TYPE_AYR_CALCULATE_OCS_USING_WEIGHT_OF_OFLS</t>
  </si>
  <si>
    <t>TYPE_AYR_CALCULATE_OCS_USING_WEIGHT_OF_OUS</t>
  </si>
  <si>
    <t>TYPE_AYR_CALCULATE_OCS_USING_WEIGHT_OF_RA</t>
  </si>
  <si>
    <t>TYPE_AYR_CALCULATE_OCS_USING_WEIGHT_OF_RW</t>
  </si>
  <si>
    <t>TYPE_AYR_CALCULATE_OCS_USING_WEIGHT_OF_ST</t>
  </si>
  <si>
    <t>TYPE_BSW_CALCULATE_OCS_USING_WEIGHT_OF_ANG</t>
  </si>
  <si>
    <t>TYPE_BSW_CALCULATE_OCS_USING_WEIGHT_OF_BD</t>
  </si>
  <si>
    <t>TYPE_BSW_CALCULATE_OCS_USING_WEIGHT_OF_CW</t>
  </si>
  <si>
    <t>TYPE_BSW_CALCULATE_OCS_USING_WEIGHT_OF_OFLS</t>
  </si>
  <si>
    <t>TYPE_BSW_CALCULATE_OCS_USING_WEIGHT_OF_OUS</t>
  </si>
  <si>
    <t>TYPE_BSW_CALCULATE_OCS_USING_WEIGHT_OF_RA</t>
  </si>
  <si>
    <t>TYPE_BSW_CALCULATE_OCS_USING_WEIGHT_OF_RW</t>
  </si>
  <si>
    <t>TYPE_BSW_CALCULATE_OCS_USING_WEIGHT_OF_ST</t>
  </si>
  <si>
    <t>TYPE_BSWNoANG_CALCULATE_OCS_USING_WEIGHT_OF_BD</t>
  </si>
  <si>
    <t>TYPE_BSWNoANG_CALCULATE_OCS_USING_WEIGHT_OF_CW</t>
  </si>
  <si>
    <t>TYPE_BSWNoANG_CALCULATE_OCS_USING_WEIGHT_OF_OFLS</t>
  </si>
  <si>
    <t>TYPE_BSWNoANG_CALCULATE_OCS_USING_WEIGHT_OF_OUS</t>
  </si>
  <si>
    <t>TYPE_BSWNoANG_CALCULATE_OCS_USING_WEIGHT_OF_RA</t>
  </si>
  <si>
    <t>TYPE_BSWNoANG_CALCULATE_OCS_USING_WEIGHT_OF_RW</t>
  </si>
  <si>
    <t>TYPE_BSWNoANG_CALCULATE_OCS_USING_WEIGHT_OF_ST</t>
  </si>
  <si>
    <t>TYPE_BSWNoANGNoRW_CALCULATE_OCS_USING_WEIGHT_OF_BD</t>
  </si>
  <si>
    <t>TYPE_BSWNoANGNoRW_CALCULATE_OCS_USING_WEIGHT_OF_CW</t>
  </si>
  <si>
    <t>TYPE_BSWNoANGNoRW_CALCULATE_OCS_USING_WEIGHT_OF_OFLS</t>
  </si>
  <si>
    <t>TYPE_BSWNoANGNoRW_CALCULATE_OCS_USING_WEIGHT_OF_OUS</t>
  </si>
  <si>
    <t>TYPE_BSWNoANGNoRW_CALCULATE_OCS_USING_WEIGHT_OF_RA</t>
  </si>
  <si>
    <t>TYPE_BSWNoANGNoRW_CALCULATE_OCS_USING_WEIGHT_OF_ST</t>
  </si>
  <si>
    <t>TYPE_BSWNoBD_CALCULATE_OCS_USING_WEIGHT_OF_ANG</t>
  </si>
  <si>
    <t>TYPE_BSWNoBD_CALCULATE_OCS_USING_WEIGHT_OF_CW</t>
  </si>
  <si>
    <t>TYPE_BSWNoBD_CALCULATE_OCS_USING_WEIGHT_OF_OFLS</t>
  </si>
  <si>
    <t>TYPE_BSWNoBD_CALCULATE_OCS_USING_WEIGHT_OF_OUS</t>
  </si>
  <si>
    <t>TYPE_BSWNoBD_CALCULATE_OCS_USING_WEIGHT_OF_RA</t>
  </si>
  <si>
    <t>TYPE_BSWNoBD_CALCULATE_OCS_USING_WEIGHT_OF_RW</t>
  </si>
  <si>
    <t>TYPE_BSWNoBD_CALCULATE_OCS_USING_WEIGHT_OF_ST</t>
  </si>
  <si>
    <t>TYPE_GUE_CALCULATE_OCS_USING_WEIGHT_OF_ANG</t>
  </si>
  <si>
    <t>TYPE_GUE_CALCULATE_OCS_USING_WEIGHT_OF_BD</t>
  </si>
  <si>
    <t>TYPE_GUE_CALCULATE_OCS_USING_WEIGHT_OF_CW</t>
  </si>
  <si>
    <t>TYPE_GUE_CALCULATE_OCS_USING_WEIGHT_OF_OFLS</t>
  </si>
  <si>
    <t>TYPE_GUE_CALCULATE_OCS_USING_WEIGHT_OF_OUS</t>
  </si>
  <si>
    <t>TYPE_GUE_CALCULATE_OCS_USING_WEIGHT_OF_RA</t>
  </si>
  <si>
    <t>TYPE_GUE_CALCULATE_OCS_USING_WEIGHT_OF_RW</t>
  </si>
  <si>
    <t>TYPE_GUE_CALCULATE_OCS_USING_WEIGHT_OF_ST</t>
  </si>
  <si>
    <t>TYPE_HOL_CALCULATE_OCS_RELIABILITY_USING_WEIGHT_OF_OFLS</t>
  </si>
  <si>
    <t>TYPE_HOL_CALCULATE_OCS_RELIABILITY_USING_WEIGHT_OF_OUS</t>
  </si>
  <si>
    <t>TYPE_HOL_CALCULATE_OCS_USING_WEIGHT_OF_ANG</t>
  </si>
  <si>
    <t>TYPE_HOL_CALCULATE_OCS_USING_WEIGHT_OF_BD</t>
  </si>
  <si>
    <t>TYPE_HOL_CALCULATE_OCS_USING_WEIGHT_OF_CW</t>
  </si>
  <si>
    <t>TYPE_HOL_CALCULATE_OCS_USING_WEIGHT_OF_OFLS</t>
  </si>
  <si>
    <t>TYPE_HOL_CALCULATE_OCS_USING_WEIGHT_OF_OUS</t>
  </si>
  <si>
    <t>TYPE_HOL_CALCULATE_OCS_USING_WEIGHT_OF_RA</t>
  </si>
  <si>
    <t>TYPE_HOL_CALCULATE_OCS_USING_WEIGHT_OF_RW</t>
  </si>
  <si>
    <t>TYPE_HOL_CALCULATE_OCS_USING_WEIGHT_OF_ST</t>
  </si>
  <si>
    <t>TYPE_HOL_ONLY_CALCULATE_OCS_USING_WEIGHT_OF_ANG</t>
  </si>
  <si>
    <t>TYPE_HOL_ONLY_CALCULATE_OCS_USING_WEIGHT_OF_CW</t>
  </si>
  <si>
    <t>TYPE_HOL_ONLY_CALCULATE_OCS_USING_WEIGHT_OF_OFLS</t>
  </si>
  <si>
    <t>TYPE_HOL_ONLY_CALCULATE_OCS_USING_WEIGHT_OF_OUS</t>
  </si>
  <si>
    <t>TYPE_HOL_ONLY_CALCULATE_OCS_USING_WEIGHT_OF_RA</t>
  </si>
  <si>
    <t>TYPE_HOL_ONLY_CALCULATE_OCS_USING_WEIGHT_OF_RLS</t>
  </si>
  <si>
    <t>TYPE_HOL_ONLY_CALCULATE_OCS_USING_WEIGHT_OF_ST</t>
  </si>
  <si>
    <t>TYPE_HOL_ONLY_CALCULATE_OCS_USING_WEIGHT_OF_TL</t>
  </si>
  <si>
    <t>TYPE_JERAll_CALCULATE_OCS_USING_WEIGHT_OF_ANG</t>
  </si>
  <si>
    <t>TYPE_JERAll_CALCULATE_OCS_USING_WEIGHT_OF_BD</t>
  </si>
  <si>
    <t>TYPE_JERAll_CALCULATE_OCS_USING_WEIGHT_OF_CW</t>
  </si>
  <si>
    <t>TYPE_JERAll_CALCULATE_OCS_USING_WEIGHT_OF_OFLS</t>
  </si>
  <si>
    <t>TYPE_JERAll_CALCULATE_OCS_USING_WEIGHT_OF_OUS</t>
  </si>
  <si>
    <t>TYPE_JERAll_CALCULATE_OCS_USING_WEIGHT_OF_RA</t>
  </si>
  <si>
    <t>TYPE_JERAll_CALCULATE_OCS_USING_WEIGHT_OF_RW</t>
  </si>
  <si>
    <t>TYPE_JERAll_CALCULATE_OCS_USING_WEIGHT_OF_ST</t>
  </si>
  <si>
    <t>TYPE_JERNoANG_CALCULATE_OCS_USING_WEIGHT_OF_BD</t>
  </si>
  <si>
    <t>TYPE_JERNoANG_CALCULATE_OCS_USING_WEIGHT_OF_CW</t>
  </si>
  <si>
    <t>TYPE_JERNoANG_CALCULATE_OCS_USING_WEIGHT_OF_OFLS</t>
  </si>
  <si>
    <t>TYPE_JERNoANG_CALCULATE_OCS_USING_WEIGHT_OF_OUS</t>
  </si>
  <si>
    <t>TYPE_JERNoANG_CALCULATE_OCS_USING_WEIGHT_OF_RA</t>
  </si>
  <si>
    <t>TYPE_JERNoANG_CALCULATE_OCS_USING_WEIGHT_OF_RW</t>
  </si>
  <si>
    <t>TYPE_JERNoANG_CALCULATE_OCS_USING_WEIGHT_OF_ST</t>
  </si>
  <si>
    <t>TYPE_JERNoBD_CALCULATE_OCS_USING_WEIGHT_OF_ANG</t>
  </si>
  <si>
    <t>TYPE_JERNoBD_CALCULATE_OCS_USING_WEIGHT_OF_CW</t>
  </si>
  <si>
    <t>TYPE_JERNoBD_CALCULATE_OCS_USING_WEIGHT_OF_OFLS</t>
  </si>
  <si>
    <t>TYPE_JERNoBD_CALCULATE_OCS_USING_WEIGHT_OF_OUS</t>
  </si>
  <si>
    <t>TYPE_JERNoBD_CALCULATE_OCS_USING_WEIGHT_OF_RA</t>
  </si>
  <si>
    <t>TYPE_JERNoBD_CALCULATE_OCS_USING_WEIGHT_OF_RW</t>
  </si>
  <si>
    <t>TYPE_JERNoBD_CALCULATE_OCS_USING_WEIGHT_OF_ST</t>
  </si>
  <si>
    <t>TYPE_JERAll_CALCULATE_OCS_USING_WEIGHT_OF_RLS</t>
  </si>
  <si>
    <t>TYPE_JERNoBD_CALCULATE_OCS_USING_WEIGHT_OF_RLS</t>
  </si>
  <si>
    <t>TYPE_JERNoANG_CALCULATE_OCS_USING_WEIGHT_OF_RLS</t>
  </si>
  <si>
    <t>VLOOKUP Terms</t>
  </si>
  <si>
    <t>OFLS</t>
  </si>
  <si>
    <t>OUS</t>
  </si>
  <si>
    <t>HOL_ONLY</t>
  </si>
  <si>
    <t>FRI TM uses HOL values as input, and then gets FRI base adjusted (see Type calc)</t>
  </si>
  <si>
    <t>AHDB Holstein &amp; Friesian Bull and Cow Conversion</t>
  </si>
  <si>
    <t>These values are taken from the converted HOL (from FRI) and then there is no adjustment through Type calc</t>
  </si>
  <si>
    <t>See TMWeightings for explanation on FRI TM; HOL(fromFRI) TM is calculated directly from the HOL estimated types</t>
  </si>
  <si>
    <t>TPS</t>
  </si>
  <si>
    <r>
      <t xml:space="preserve">Holstein </t>
    </r>
    <r>
      <rPr>
        <b/>
        <sz val="16"/>
        <color rgb="FF0082CA"/>
        <rFont val="Calibri"/>
        <family val="2"/>
      </rPr>
      <t>→</t>
    </r>
    <r>
      <rPr>
        <b/>
        <i/>
        <sz val="16"/>
        <color rgb="FF0082CA"/>
        <rFont val="Calibri Light"/>
        <family val="2"/>
        <scheme val="major"/>
      </rPr>
      <t xml:space="preserve"> Friesian</t>
    </r>
  </si>
  <si>
    <t>Friesian → Holstein</t>
  </si>
  <si>
    <t>-</t>
  </si>
  <si>
    <t>Weight_241</t>
  </si>
  <si>
    <t>select * from [DairySystem].[dbo].[tblSystemVariable] where chrKey like 'TYPE_%' and chrkey NOT like '%baseyear%'</t>
  </si>
  <si>
    <t>Added for 242</t>
  </si>
  <si>
    <t>April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</si>
</sst>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82CA"/>
      <name val="Calibri"/>
      <family val="2"/>
      <scheme val="minor"/>
    </font>
    <font>
      <sz val="11"/>
      <color rgb="FF0082CA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i/>
      <sz val="16"/>
      <color rgb="FF0082CA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4"/>
      <color theme="4"/>
      <name val="Calibri"/>
      <family val="2"/>
      <scheme val="minor"/>
    </font>
    <font>
      <b/>
      <sz val="16"/>
      <color rgb="FF0082CA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>
      <protection hidden="1"/>
    </xf>
    <xf numFmtId="0" fontId="2" fillId="0" borderId="0" xfId="0" applyFont="1" applyAlignment="1" applyProtection="1">
      <alignment horizontal="left"/>
      <protection hidden="1"/>
    </xf>
    <xf numFmtId="49" fontId="3" fillId="0" borderId="0" xfId="0" applyNumberFormat="1" applyFont="1" applyProtection="1">
      <protection hidden="1"/>
    </xf>
    <xf numFmtId="0" fontId="4" fillId="0" borderId="0" xfId="0" applyFont="1" applyProtection="1">
      <protection hidden="1"/>
    </xf>
    <xf numFmtId="49" fontId="3" fillId="0" borderId="0" xfId="0" applyNumberFormat="1" applyFont="1" applyAlignment="1" applyProtection="1">
      <alignment horizontal="left" vertical="top"/>
      <protection hidden="1"/>
    </xf>
    <xf numFmtId="0" fontId="6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1" xfId="0" applyFill="1" applyBorder="1" applyAlignment="1" applyProtection="1">
      <alignment horizontal="center"/>
      <protection locked="0" hidden="1"/>
    </xf>
    <xf numFmtId="0" fontId="1" fillId="0" borderId="0" xfId="0" applyFont="1" applyAlignment="1" applyProtection="1">
      <alignment horizontal="center"/>
      <protection hidden="1"/>
    </xf>
    <xf numFmtId="0" fontId="1" fillId="0" borderId="0" xfId="0" applyFont="1"/>
    <xf numFmtId="14" fontId="0" fillId="0" borderId="0" xfId="0" applyNumberFormat="1"/>
    <xf numFmtId="47" fontId="0" fillId="0" borderId="0" xfId="0" applyNumberFormat="1"/>
    <xf numFmtId="0" fontId="1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left"/>
    </xf>
    <xf numFmtId="2" fontId="0" fillId="0" borderId="0" xfId="0" applyNumberFormat="1"/>
    <xf numFmtId="1" fontId="0" fillId="0" borderId="0" xfId="0" applyNumberFormat="1"/>
    <xf numFmtId="0" fontId="7" fillId="0" borderId="0" xfId="0" applyFont="1"/>
    <xf numFmtId="0" fontId="0" fillId="0" borderId="2" xfId="0" applyBorder="1"/>
    <xf numFmtId="0" fontId="1" fillId="0" borderId="3" xfId="0" applyFont="1" applyBorder="1"/>
    <xf numFmtId="0" fontId="0" fillId="3" borderId="0" xfId="0" applyFill="1"/>
    <xf numFmtId="0" fontId="7" fillId="3" borderId="0" xfId="0" applyFont="1" applyFill="1"/>
    <xf numFmtId="0" fontId="7" fillId="0" borderId="0" xfId="0" applyFont="1" applyAlignment="1">
      <alignment horizontal="left" vertical="center" indent="1"/>
    </xf>
    <xf numFmtId="0" fontId="0" fillId="4" borderId="0" xfId="0" applyFill="1"/>
    <xf numFmtId="0" fontId="0" fillId="0" borderId="4" xfId="0" applyBorder="1"/>
    <xf numFmtId="0" fontId="0" fillId="0" borderId="5" xfId="0" applyBorder="1"/>
    <xf numFmtId="0" fontId="1" fillId="0" borderId="6" xfId="0" applyFont="1" applyBorder="1"/>
    <xf numFmtId="0" fontId="0" fillId="0" borderId="7" xfId="0" applyBorder="1"/>
    <xf numFmtId="0" fontId="0" fillId="0" borderId="8" xfId="0" applyBorder="1"/>
    <xf numFmtId="0" fontId="0" fillId="3" borderId="8" xfId="0" applyFill="1" applyBorder="1"/>
    <xf numFmtId="0" fontId="0" fillId="4" borderId="8" xfId="0" applyFill="1" applyBorder="1"/>
    <xf numFmtId="0" fontId="0" fillId="5" borderId="0" xfId="0" applyFill="1"/>
    <xf numFmtId="2" fontId="0" fillId="5" borderId="0" xfId="0" applyNumberFormat="1" applyFill="1"/>
    <xf numFmtId="0" fontId="1" fillId="0" borderId="9" xfId="0" applyFont="1" applyBorder="1"/>
    <xf numFmtId="0" fontId="0" fillId="0" borderId="1" xfId="0" applyBorder="1" applyAlignment="1" applyProtection="1">
      <alignment horizontal="center"/>
      <protection hidden="1"/>
    </xf>
    <xf numFmtId="2" fontId="1" fillId="0" borderId="0" xfId="0" applyNumberFormat="1" applyFont="1" applyAlignment="1" applyProtection="1">
      <alignment horizontal="center"/>
      <protection hidden="1"/>
    </xf>
    <xf numFmtId="165" fontId="1" fillId="0" borderId="0" xfId="0" applyNumberFormat="1" applyFont="1" applyAlignment="1" applyProtection="1">
      <alignment horizontal="center"/>
      <protection hidden="1"/>
    </xf>
    <xf numFmtId="0" fontId="0" fillId="6" borderId="0" xfId="0" applyFill="1"/>
    <xf numFmtId="0" fontId="0" fillId="6" borderId="8" xfId="0" applyFill="1" applyBorder="1"/>
    <xf numFmtId="49" fontId="0" fillId="7" borderId="0" xfId="0" applyNumberFormat="1" applyFill="1"/>
    <xf numFmtId="164" fontId="0" fillId="7" borderId="0" xfId="0" applyNumberFormat="1" applyFill="1"/>
    <xf numFmtId="0" fontId="5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219075</xdr:rowOff>
    </xdr:from>
    <xdr:to>
      <xdr:col>30</xdr:col>
      <xdr:colOff>590550</xdr:colOff>
      <xdr:row>7</xdr:row>
      <xdr:rowOff>55880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C7171A43-C0AF-4F5F-95F6-243C094FE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2000"/>
          <a:ext cx="17907000" cy="770255"/>
        </a:xfrm>
        <a:prstGeom prst="rect">
          <a:avLst/>
        </a:prstGeom>
      </xdr:spPr>
    </xdr:pic>
    <xdr:clientData/>
  </xdr:twoCellAnchor>
  <xdr:twoCellAnchor>
    <xdr:from>
      <xdr:col>1</xdr:col>
      <xdr:colOff>142875</xdr:colOff>
      <xdr:row>7</xdr:row>
      <xdr:rowOff>104774</xdr:rowOff>
    </xdr:from>
    <xdr:to>
      <xdr:col>28</xdr:col>
      <xdr:colOff>304800</xdr:colOff>
      <xdr:row>14</xdr:row>
      <xdr:rowOff>190499</xdr:rowOff>
    </xdr:to>
    <xdr:sp macro="" textlink="">
      <xdr:nvSpPr>
        <xdr:cNvPr id="11" name="Rectangle: Rounded Corners 10">
          <a:extLst>
            <a:ext uri="{FF2B5EF4-FFF2-40B4-BE49-F238E27FC236}">
              <a16:creationId xmlns:a16="http://schemas.microsoft.com/office/drawing/2014/main" id="{54B983C8-CCCC-451C-9639-67A4C165A056}"/>
            </a:ext>
          </a:extLst>
        </xdr:cNvPr>
        <xdr:cNvSpPr/>
      </xdr:nvSpPr>
      <xdr:spPr>
        <a:xfrm>
          <a:off x="419100" y="1581149"/>
          <a:ext cx="15725775" cy="1362075"/>
        </a:xfrm>
        <a:prstGeom prst="roundRect">
          <a:avLst>
            <a:gd name="adj" fmla="val 20337"/>
          </a:avLst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0</xdr:col>
      <xdr:colOff>133350</xdr:colOff>
      <xdr:row>0</xdr:row>
      <xdr:rowOff>152400</xdr:rowOff>
    </xdr:from>
    <xdr:to>
      <xdr:col>4</xdr:col>
      <xdr:colOff>428625</xdr:colOff>
      <xdr:row>3</xdr:row>
      <xdr:rowOff>33223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6B74FF43-A1DE-47AC-81A4-BF0DF6173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 flipH="1" flipV="1">
          <a:off x="133350" y="152400"/>
          <a:ext cx="1504950" cy="652348"/>
        </a:xfrm>
        <a:prstGeom prst="rect">
          <a:avLst/>
        </a:prstGeom>
      </xdr:spPr>
    </xdr:pic>
    <xdr:clientData/>
  </xdr:twoCellAnchor>
  <xdr:twoCellAnchor>
    <xdr:from>
      <xdr:col>1</xdr:col>
      <xdr:colOff>142875</xdr:colOff>
      <xdr:row>16</xdr:row>
      <xdr:rowOff>104775</xdr:rowOff>
    </xdr:from>
    <xdr:to>
      <xdr:col>28</xdr:col>
      <xdr:colOff>304800</xdr:colOff>
      <xdr:row>23</xdr:row>
      <xdr:rowOff>47626</xdr:rowOff>
    </xdr:to>
    <xdr:sp macro="" textlink="">
      <xdr:nvSpPr>
        <xdr:cNvPr id="19" name="Rectangle: Rounded Corners 18">
          <a:extLst>
            <a:ext uri="{FF2B5EF4-FFF2-40B4-BE49-F238E27FC236}">
              <a16:creationId xmlns:a16="http://schemas.microsoft.com/office/drawing/2014/main" id="{8D5260EE-F05A-4FD0-8DA4-F68F90A50B4D}"/>
            </a:ext>
          </a:extLst>
        </xdr:cNvPr>
        <xdr:cNvSpPr/>
      </xdr:nvSpPr>
      <xdr:spPr>
        <a:xfrm>
          <a:off x="419100" y="3238500"/>
          <a:ext cx="15725775" cy="1152526"/>
        </a:xfrm>
        <a:prstGeom prst="roundRect">
          <a:avLst>
            <a:gd name="adj" fmla="val 20337"/>
          </a:avLst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28</xdr:col>
      <xdr:colOff>523875</xdr:colOff>
      <xdr:row>7</xdr:row>
      <xdr:rowOff>104774</xdr:rowOff>
    </xdr:from>
    <xdr:to>
      <xdr:col>30</xdr:col>
      <xdr:colOff>123825</xdr:colOff>
      <xdr:row>14</xdr:row>
      <xdr:rowOff>190499</xdr:rowOff>
    </xdr:to>
    <xdr:sp macro="" textlink="">
      <xdr:nvSpPr>
        <xdr:cNvPr id="20" name="Rectangle: Rounded Corners 19">
          <a:extLst>
            <a:ext uri="{FF2B5EF4-FFF2-40B4-BE49-F238E27FC236}">
              <a16:creationId xmlns:a16="http://schemas.microsoft.com/office/drawing/2014/main" id="{EAB25EF4-BF3D-4EF4-94E0-8F1F49CC124D}"/>
            </a:ext>
          </a:extLst>
        </xdr:cNvPr>
        <xdr:cNvSpPr/>
      </xdr:nvSpPr>
      <xdr:spPr>
        <a:xfrm>
          <a:off x="16363950" y="1581149"/>
          <a:ext cx="1076325" cy="1362075"/>
        </a:xfrm>
        <a:prstGeom prst="roundRect">
          <a:avLst>
            <a:gd name="adj" fmla="val 28302"/>
          </a:avLst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219075</xdr:rowOff>
    </xdr:from>
    <xdr:to>
      <xdr:col>30</xdr:col>
      <xdr:colOff>590550</xdr:colOff>
      <xdr:row>7</xdr:row>
      <xdr:rowOff>55880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E9A960-3266-4879-9F6F-3BAE0FD4A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2000"/>
          <a:ext cx="17907000" cy="770255"/>
        </a:xfrm>
        <a:prstGeom prst="rect">
          <a:avLst/>
        </a:prstGeom>
      </xdr:spPr>
    </xdr:pic>
    <xdr:clientData/>
  </xdr:twoCellAnchor>
  <xdr:twoCellAnchor>
    <xdr:from>
      <xdr:col>1</xdr:col>
      <xdr:colOff>142875</xdr:colOff>
      <xdr:row>7</xdr:row>
      <xdr:rowOff>104774</xdr:rowOff>
    </xdr:from>
    <xdr:to>
      <xdr:col>28</xdr:col>
      <xdr:colOff>304800</xdr:colOff>
      <xdr:row>14</xdr:row>
      <xdr:rowOff>190499</xdr:rowOff>
    </xdr:to>
    <xdr:sp macro="" textlink="">
      <xdr:nvSpPr>
        <xdr:cNvPr id="3" name="Rectangle: Rounded Corners 2">
          <a:extLst>
            <a:ext uri="{FF2B5EF4-FFF2-40B4-BE49-F238E27FC236}">
              <a16:creationId xmlns:a16="http://schemas.microsoft.com/office/drawing/2014/main" id="{34752DDC-3EC6-42AA-A35F-269D6CA54553}"/>
            </a:ext>
          </a:extLst>
        </xdr:cNvPr>
        <xdr:cNvSpPr/>
      </xdr:nvSpPr>
      <xdr:spPr>
        <a:xfrm>
          <a:off x="419100" y="1581149"/>
          <a:ext cx="15725775" cy="1362075"/>
        </a:xfrm>
        <a:prstGeom prst="roundRect">
          <a:avLst>
            <a:gd name="adj" fmla="val 20337"/>
          </a:avLst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0</xdr:col>
      <xdr:colOff>133350</xdr:colOff>
      <xdr:row>0</xdr:row>
      <xdr:rowOff>152400</xdr:rowOff>
    </xdr:from>
    <xdr:to>
      <xdr:col>4</xdr:col>
      <xdr:colOff>428625</xdr:colOff>
      <xdr:row>3</xdr:row>
      <xdr:rowOff>33223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11606D-D3F3-4D8A-BAE5-76B599202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0800000" flipH="1" flipV="1">
          <a:off x="133350" y="152400"/>
          <a:ext cx="1504950" cy="652348"/>
        </a:xfrm>
        <a:prstGeom prst="rect">
          <a:avLst/>
        </a:prstGeom>
      </xdr:spPr>
    </xdr:pic>
    <xdr:clientData/>
  </xdr:twoCellAnchor>
  <xdr:twoCellAnchor>
    <xdr:from>
      <xdr:col>1</xdr:col>
      <xdr:colOff>142875</xdr:colOff>
      <xdr:row>16</xdr:row>
      <xdr:rowOff>104775</xdr:rowOff>
    </xdr:from>
    <xdr:to>
      <xdr:col>28</xdr:col>
      <xdr:colOff>304800</xdr:colOff>
      <xdr:row>23</xdr:row>
      <xdr:rowOff>47626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17851D05-62F6-49AD-9A61-83C4CC7DEC18}"/>
            </a:ext>
          </a:extLst>
        </xdr:cNvPr>
        <xdr:cNvSpPr/>
      </xdr:nvSpPr>
      <xdr:spPr>
        <a:xfrm>
          <a:off x="419100" y="3238500"/>
          <a:ext cx="15725775" cy="1152526"/>
        </a:xfrm>
        <a:prstGeom prst="roundRect">
          <a:avLst>
            <a:gd name="adj" fmla="val 20337"/>
          </a:avLst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28</xdr:col>
      <xdr:colOff>523875</xdr:colOff>
      <xdr:row>7</xdr:row>
      <xdr:rowOff>104774</xdr:rowOff>
    </xdr:from>
    <xdr:to>
      <xdr:col>30</xdr:col>
      <xdr:colOff>123825</xdr:colOff>
      <xdr:row>14</xdr:row>
      <xdr:rowOff>190499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C23A3927-FBD5-474D-9AEF-9F1C27F19CC0}"/>
            </a:ext>
          </a:extLst>
        </xdr:cNvPr>
        <xdr:cNvSpPr/>
      </xdr:nvSpPr>
      <xdr:spPr>
        <a:xfrm>
          <a:off x="16363950" y="1581149"/>
          <a:ext cx="1076325" cy="1362075"/>
        </a:xfrm>
        <a:prstGeom prst="roundRect">
          <a:avLst>
            <a:gd name="adj" fmla="val 28302"/>
          </a:avLst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18</xdr:row>
      <xdr:rowOff>161924</xdr:rowOff>
    </xdr:from>
    <xdr:to>
      <xdr:col>18</xdr:col>
      <xdr:colOff>161925</xdr:colOff>
      <xdr:row>40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1108C19-1883-4147-85D0-8E202F98EE6F}"/>
            </a:ext>
          </a:extLst>
        </xdr:cNvPr>
        <xdr:cNvSpPr txBox="1"/>
      </xdr:nvSpPr>
      <xdr:spPr>
        <a:xfrm>
          <a:off x="6467475" y="3590924"/>
          <a:ext cx="4972050" cy="40862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FOR MANUAL CALC OF FI, Maint, Envirocow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select  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avg(fri.fertiltiy_index - hol.fertiltiy_index) as avgD_FI,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count(fri.fertiltiy_index - hol.fertiltiy_index) as count_FI,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avg(fri.Efficiency - hol.Efficiency) as avgD_Efficiency,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count(fri.Efficiency - hol.Efficiency) as count_Efficiency,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avg(fri.EnviroCow - hol.EnviroCow) as avgD_EnviroCow,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count(fri.EnviroCow - hol.EnviroCow) as count_EnviroCow,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avg(fri.HealthyCow - hol.HealthyCow) as avgD_HealthyCow,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count(fri.HealthyCow - hol.HealthyCow) as count_HealthyCow,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avg(fri.DigitalDermatitis - hol.DigitalDermatitis) as avgD_DigitalDermatitis,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count(fri.DigitalDermatitis - hol.DigitalDermatitis) as count_DigitalDermatitis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from temp_sac_output_RADE.dbo.sac_bull_results as fri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left join temp_sac_output_RADE.dbo.sac_bull_results as hol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on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fri.bull_breed_code = hol.bull_breed_code and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fri.bull_hbn_emn = hol.bull_hbn_emn and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fri.bull_id_type = hol.bull_id_type and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fri.bull_pedigree_status = hol.bull_pedigree_status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where 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fri.bull_breed_code = '20' and fri.evaluation_group_number = '8' and </a:t>
          </a:r>
        </a:p>
        <a:p>
          <a:r>
            <a:rPr lang="en-GB" sz="1100">
              <a:solidFill>
                <a:schemeClr val="dk1"/>
              </a:solidFill>
              <a:latin typeface="+mn-lt"/>
              <a:ea typeface="+mn-ea"/>
              <a:cs typeface="+mn-cs"/>
            </a:rPr>
            <a:t>hol.evaluation_group_number = '1'</a:t>
          </a:r>
        </a:p>
        <a:p>
          <a:endParaRPr lang="en-GB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nversions_2204%20Unlock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put"/>
      <sheetName val="Output"/>
      <sheetName val="Countries"/>
      <sheetName val="Breeds"/>
      <sheetName val="PLI_REVs"/>
      <sheetName val="SCIBaseAdjust"/>
      <sheetName val="SCI_REVs"/>
      <sheetName val="ComponentPercent"/>
      <sheetName val="MaintWeightings"/>
      <sheetName val="TMWeights"/>
      <sheetName val="TMWeightings"/>
      <sheetName val="Q_Filtered"/>
      <sheetName val="Q_Prod"/>
      <sheetName val="Q_CE"/>
      <sheetName val="Q_FI"/>
      <sheetName val="Q_LS"/>
      <sheetName val="Q_SCC"/>
      <sheetName val="Q_Mast"/>
      <sheetName val="Q_Type"/>
      <sheetName val="Q_Work"/>
    </sheetNames>
    <sheetDataSet>
      <sheetData sheetId="0"/>
      <sheetData sheetId="1">
        <row r="10">
          <cell r="AC10" t="str">
            <v>JER</v>
          </cell>
        </row>
      </sheetData>
      <sheetData sheetId="2"/>
      <sheetData sheetId="3">
        <row r="1">
          <cell r="A1" t="str">
            <v>CountryList</v>
          </cell>
          <cell r="B1" t="str">
            <v>Flag</v>
          </cell>
        </row>
        <row r="2">
          <cell r="A2" t="str">
            <v>AUS</v>
          </cell>
        </row>
        <row r="3">
          <cell r="A3" t="str">
            <v>BEL</v>
          </cell>
        </row>
        <row r="4">
          <cell r="A4" t="str">
            <v>CAM</v>
          </cell>
        </row>
        <row r="5">
          <cell r="A5" t="str">
            <v>CAN</v>
          </cell>
        </row>
        <row r="6">
          <cell r="A6" t="str">
            <v>CHE</v>
          </cell>
        </row>
        <row r="7">
          <cell r="A7" t="str">
            <v>CZE</v>
          </cell>
        </row>
        <row r="8">
          <cell r="A8" t="str">
            <v>DEA</v>
          </cell>
        </row>
        <row r="9">
          <cell r="A9" t="str">
            <v>DEU</v>
          </cell>
        </row>
        <row r="10">
          <cell r="A10" t="str">
            <v>DFS</v>
          </cell>
        </row>
        <row r="11">
          <cell r="A11" t="str">
            <v>ESP</v>
          </cell>
        </row>
        <row r="12">
          <cell r="A12" t="str">
            <v>EST</v>
          </cell>
        </row>
        <row r="13">
          <cell r="A13" t="str">
            <v>FRA</v>
          </cell>
        </row>
        <row r="14">
          <cell r="A14" t="str">
            <v>FRM</v>
          </cell>
        </row>
        <row r="15">
          <cell r="A15" t="str">
            <v>HRV</v>
          </cell>
        </row>
        <row r="16">
          <cell r="A16" t="str">
            <v>HUN</v>
          </cell>
        </row>
        <row r="17">
          <cell r="A17" t="str">
            <v>IRL</v>
          </cell>
        </row>
        <row r="18">
          <cell r="A18" t="str">
            <v>ISR</v>
          </cell>
        </row>
        <row r="19">
          <cell r="A19" t="str">
            <v>ITA</v>
          </cell>
        </row>
        <row r="20">
          <cell r="A20" t="str">
            <v>JPN</v>
          </cell>
        </row>
        <row r="21">
          <cell r="A21" t="str">
            <v>KOR</v>
          </cell>
        </row>
        <row r="22">
          <cell r="A22" t="str">
            <v>LTU</v>
          </cell>
        </row>
        <row r="23">
          <cell r="A23" t="str">
            <v>LVA</v>
          </cell>
        </row>
        <row r="24">
          <cell r="A24" t="str">
            <v>NLD</v>
          </cell>
        </row>
        <row r="25">
          <cell r="A25" t="str">
            <v>NOR</v>
          </cell>
        </row>
        <row r="26">
          <cell r="A26" t="str">
            <v>NZL</v>
          </cell>
        </row>
        <row r="27">
          <cell r="A27" t="str">
            <v>POL</v>
          </cell>
        </row>
        <row r="28">
          <cell r="A28" t="str">
            <v>PRT</v>
          </cell>
        </row>
        <row r="29">
          <cell r="A29" t="str">
            <v>SVK</v>
          </cell>
        </row>
        <row r="30">
          <cell r="A30" t="str">
            <v>SVN</v>
          </cell>
        </row>
        <row r="31">
          <cell r="A31" t="str">
            <v>URY</v>
          </cell>
        </row>
        <row r="32">
          <cell r="A32" t="str">
            <v>USA</v>
          </cell>
        </row>
        <row r="33">
          <cell r="A33" t="str">
            <v>ZAF</v>
          </cell>
        </row>
      </sheetData>
      <sheetData sheetId="4">
        <row r="1">
          <cell r="A1" t="str">
            <v>BreedList</v>
          </cell>
          <cell r="B1" t="str">
            <v>Pic</v>
          </cell>
        </row>
        <row r="2">
          <cell r="A2" t="str">
            <v>BSW</v>
          </cell>
        </row>
        <row r="3">
          <cell r="A3" t="str">
            <v>GUE</v>
          </cell>
        </row>
        <row r="4">
          <cell r="A4" t="str">
            <v>HOL</v>
          </cell>
        </row>
        <row r="5">
          <cell r="A5" t="str">
            <v>JER</v>
          </cell>
        </row>
        <row r="6">
          <cell r="A6" t="str">
            <v>RDC</v>
          </cell>
        </row>
        <row r="7">
          <cell r="A7" t="str">
            <v>SIM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D89A8-EB76-473C-8076-2B9EDF56BE86}">
  <sheetPr>
    <pageSetUpPr autoPageBreaks="0"/>
  </sheetPr>
  <dimension ref="C1:AK26"/>
  <sheetViews>
    <sheetView showGridLines="0" zoomScaleNormal="100" workbookViewId="0">
      <selection activeCell="E12" sqref="E12"/>
    </sheetView>
  </sheetViews>
  <sheetFormatPr defaultRowHeight="15" x14ac:dyDescent="0.25"/>
  <cols>
    <col min="1" max="1" width="4.140625" style="1" customWidth="1"/>
    <col min="2" max="2" width="4.28515625" style="1" customWidth="1"/>
    <col min="3" max="3" width="7.42578125" style="1" customWidth="1"/>
    <col min="4" max="4" width="2.28515625" style="1" customWidth="1"/>
    <col min="5" max="10" width="9.140625" style="1"/>
    <col min="11" max="12" width="9.140625" style="1" customWidth="1"/>
    <col min="13" max="17" width="9.140625" style="1"/>
    <col min="18" max="18" width="9.140625" style="1" customWidth="1"/>
    <col min="19" max="29" width="9.140625" style="1"/>
    <col min="30" max="30" width="13" style="1" customWidth="1"/>
    <col min="31" max="32" width="9.140625" style="1"/>
    <col min="33" max="33" width="9.140625" style="1" customWidth="1"/>
    <col min="34" max="34" width="9.140625" style="1"/>
    <col min="35" max="35" width="9.140625" style="1" customWidth="1"/>
    <col min="36" max="16384" width="9.140625" style="1"/>
  </cols>
  <sheetData>
    <row r="1" spans="3:37" ht="19.5" customHeight="1" x14ac:dyDescent="0.25"/>
    <row r="2" spans="3:37" ht="23.25" x14ac:dyDescent="0.35">
      <c r="G2" s="2" t="s">
        <v>295</v>
      </c>
      <c r="N2" s="3"/>
      <c r="O2" s="3"/>
      <c r="P2" s="3"/>
      <c r="R2" s="4" t="str">
        <f ca="1">IF(TODAY()&gt;=Date!C2,Date!B2,"")</f>
        <v/>
      </c>
    </row>
    <row r="3" spans="3:37" ht="18" customHeight="1" x14ac:dyDescent="0.25">
      <c r="G3" s="5" t="str">
        <f>Date!A2</f>
        <v>April 2025</v>
      </c>
    </row>
    <row r="4" spans="3:37" ht="13.5" customHeight="1" x14ac:dyDescent="0.25"/>
    <row r="5" spans="3:37" ht="13.5" customHeight="1" x14ac:dyDescent="0.25"/>
    <row r="6" spans="3:37" ht="13.5" customHeight="1" x14ac:dyDescent="0.25">
      <c r="G6" s="42" t="s">
        <v>299</v>
      </c>
      <c r="H6" s="42"/>
      <c r="I6" s="42"/>
      <c r="J6" s="42"/>
    </row>
    <row r="7" spans="3:37" ht="15" customHeight="1" x14ac:dyDescent="0.25">
      <c r="G7" s="42"/>
      <c r="H7" s="42"/>
      <c r="I7" s="42"/>
      <c r="J7" s="42"/>
    </row>
    <row r="9" spans="3:37" ht="21" x14ac:dyDescent="0.35">
      <c r="C9" s="6"/>
      <c r="E9" s="43" t="s">
        <v>0</v>
      </c>
      <c r="F9" s="43"/>
      <c r="G9" s="43"/>
      <c r="H9" s="43"/>
      <c r="I9" s="43"/>
      <c r="J9" s="7"/>
      <c r="K9" s="43" t="s">
        <v>1</v>
      </c>
      <c r="L9" s="43"/>
      <c r="M9" s="43"/>
      <c r="N9" s="43"/>
      <c r="O9" s="43"/>
      <c r="P9" s="10"/>
      <c r="Q9" s="43" t="s">
        <v>2</v>
      </c>
      <c r="R9" s="43"/>
      <c r="S9" s="43"/>
      <c r="T9" s="43"/>
      <c r="U9" s="10"/>
      <c r="V9" s="43" t="s">
        <v>3</v>
      </c>
      <c r="W9" s="43"/>
      <c r="X9" s="43"/>
      <c r="Y9" s="43"/>
      <c r="AA9" s="46" t="s">
        <v>198</v>
      </c>
      <c r="AB9" s="46" t="s">
        <v>199</v>
      </c>
      <c r="AC9" s="10"/>
      <c r="AD9" s="45" t="s">
        <v>22</v>
      </c>
    </row>
    <row r="10" spans="3:37" ht="15" customHeight="1" x14ac:dyDescent="0.25">
      <c r="E10" s="8" t="s">
        <v>4</v>
      </c>
      <c r="F10" s="8" t="s">
        <v>5</v>
      </c>
      <c r="G10" s="8" t="s">
        <v>6</v>
      </c>
      <c r="H10" s="8" t="s">
        <v>7</v>
      </c>
      <c r="I10" s="8" t="s">
        <v>8</v>
      </c>
      <c r="J10" s="8"/>
      <c r="K10" s="8" t="s">
        <v>9</v>
      </c>
      <c r="L10" s="8" t="s">
        <v>10</v>
      </c>
      <c r="M10" s="8" t="s">
        <v>11</v>
      </c>
      <c r="N10" s="1" t="s">
        <v>146</v>
      </c>
      <c r="O10" s="8" t="s">
        <v>192</v>
      </c>
      <c r="Q10" s="8" t="s">
        <v>12</v>
      </c>
      <c r="R10" s="8" t="s">
        <v>15</v>
      </c>
      <c r="S10" s="8" t="s">
        <v>16</v>
      </c>
      <c r="T10" s="1" t="s">
        <v>191</v>
      </c>
      <c r="V10" s="8" t="s">
        <v>17</v>
      </c>
      <c r="W10" s="8" t="s">
        <v>18</v>
      </c>
      <c r="X10" s="8" t="s">
        <v>19</v>
      </c>
      <c r="Y10" s="8" t="s">
        <v>20</v>
      </c>
      <c r="AA10" s="46"/>
      <c r="AB10" s="46"/>
      <c r="AD10" s="45"/>
    </row>
    <row r="11" spans="3:37" ht="4.5" customHeight="1" x14ac:dyDescent="0.25">
      <c r="AD11" s="45"/>
    </row>
    <row r="12" spans="3:37" ht="15" customHeight="1" x14ac:dyDescent="0.25">
      <c r="C12" s="14" t="s">
        <v>21</v>
      </c>
      <c r="E12" s="9"/>
      <c r="F12" s="9"/>
      <c r="G12" s="9"/>
      <c r="H12" s="9"/>
      <c r="I12" s="9"/>
      <c r="J12" s="8"/>
      <c r="K12" s="9"/>
      <c r="L12" s="9"/>
      <c r="M12" s="9"/>
      <c r="N12" s="9"/>
      <c r="O12" s="9"/>
      <c r="P12" s="8"/>
      <c r="Q12" s="9"/>
      <c r="R12" s="9"/>
      <c r="S12" s="9"/>
      <c r="T12" s="9"/>
      <c r="U12" s="8"/>
      <c r="V12" s="9"/>
      <c r="W12" s="9"/>
      <c r="X12" s="9"/>
      <c r="Y12" s="9"/>
      <c r="Z12" s="8"/>
      <c r="AA12" s="9"/>
      <c r="AB12" s="9"/>
      <c r="AC12" s="8"/>
      <c r="AD12" s="44">
        <f>PLI_REVs!X13</f>
        <v>314</v>
      </c>
      <c r="AE12" s="8"/>
      <c r="AF12" s="8"/>
      <c r="AG12" s="8"/>
      <c r="AH12" s="8"/>
    </row>
    <row r="13" spans="3:37" ht="15" customHeight="1" x14ac:dyDescent="0.25">
      <c r="C13" s="14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44"/>
      <c r="AE13" s="8"/>
      <c r="AF13" s="8"/>
      <c r="AG13" s="8"/>
      <c r="AH13" s="8"/>
    </row>
    <row r="14" spans="3:37" ht="15" customHeight="1" x14ac:dyDescent="0.25">
      <c r="C14" s="14" t="s">
        <v>126</v>
      </c>
      <c r="E14" s="10">
        <f>ROUND('Production calc'!E2,0)</f>
        <v>961</v>
      </c>
      <c r="F14" s="37">
        <f>ROUND('Production calc'!E3,1)</f>
        <v>33.5</v>
      </c>
      <c r="G14" s="37">
        <f>ROUND('Production calc'!E4,1)</f>
        <v>29.1</v>
      </c>
      <c r="H14" s="36">
        <f>ROUND('Production calc'!E5,2)</f>
        <v>-0.1</v>
      </c>
      <c r="I14" s="36">
        <f>ROUND('Production calc'!E6,2)</f>
        <v>-0.04</v>
      </c>
      <c r="J14" s="10"/>
      <c r="K14" s="10">
        <f>ROUND('Production calc'!E7,0)</f>
        <v>-43</v>
      </c>
      <c r="L14" s="10">
        <f>ROUND('Production calc'!E8,0)</f>
        <v>-7</v>
      </c>
      <c r="M14" s="10">
        <f>ROUND('Production calc'!E14,0)</f>
        <v>0</v>
      </c>
      <c r="N14" s="10">
        <f>ROUND(N12,1)</f>
        <v>0</v>
      </c>
      <c r="O14" s="10">
        <f>ROUND('Production calc'!E23,1)</f>
        <v>0</v>
      </c>
      <c r="P14" s="10"/>
      <c r="Q14" s="37">
        <f>ROUND('Production calc'!E19,1)</f>
        <v>-9.8000000000000007</v>
      </c>
      <c r="R14" s="10">
        <f>ROUND('Production calc'!E15,1)</f>
        <v>0</v>
      </c>
      <c r="S14" s="10">
        <f>ROUND('Production calc'!E16,1)</f>
        <v>0</v>
      </c>
      <c r="T14" s="10">
        <f>ROUND('Production calc'!E17,1)</f>
        <v>0</v>
      </c>
      <c r="U14" s="10"/>
      <c r="V14" s="37">
        <f>ROUND('Type calc'!E20,1)</f>
        <v>1.7</v>
      </c>
      <c r="W14" s="37">
        <f>ROUND('Type calc'!E19,1)</f>
        <v>3.4</v>
      </c>
      <c r="X14" s="10">
        <f>ROUND('Production calc'!E20,0)</f>
        <v>29</v>
      </c>
      <c r="Y14" s="10">
        <f>ROUND('Type calc'!E22,0)</f>
        <v>-5</v>
      </c>
      <c r="Z14" s="10"/>
      <c r="AA14" s="37">
        <f>ROUND('Production calc'!E21,1)</f>
        <v>0.4</v>
      </c>
      <c r="AB14" s="10">
        <f>ROUND('Production calc'!E22,0)</f>
        <v>-49</v>
      </c>
      <c r="AC14" s="8"/>
      <c r="AD14" s="44"/>
      <c r="AE14" s="8"/>
      <c r="AF14" s="8"/>
      <c r="AG14" s="8"/>
      <c r="AH14" s="8"/>
    </row>
    <row r="15" spans="3:37" ht="15" customHeight="1" x14ac:dyDescent="0.25"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</row>
    <row r="16" spans="3:37" ht="15" customHeight="1" x14ac:dyDescent="0.25"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</row>
    <row r="18" spans="3:34" x14ac:dyDescent="0.25">
      <c r="E18" s="8" t="s">
        <v>23</v>
      </c>
      <c r="F18" s="8" t="s">
        <v>24</v>
      </c>
      <c r="G18" s="8" t="s">
        <v>25</v>
      </c>
      <c r="H18" s="8" t="s">
        <v>26</v>
      </c>
      <c r="I18" s="8" t="s">
        <v>27</v>
      </c>
      <c r="J18" s="8" t="s">
        <v>28</v>
      </c>
      <c r="K18" s="8"/>
      <c r="L18" s="8" t="s">
        <v>29</v>
      </c>
      <c r="M18" s="8" t="s">
        <v>30</v>
      </c>
      <c r="N18" s="8"/>
      <c r="O18" s="8" t="s">
        <v>31</v>
      </c>
      <c r="P18" s="8" t="s">
        <v>32</v>
      </c>
      <c r="Q18" s="8" t="s">
        <v>33</v>
      </c>
      <c r="R18" s="8" t="s">
        <v>34</v>
      </c>
      <c r="S18" s="8" t="s">
        <v>35</v>
      </c>
      <c r="T18" s="8" t="s">
        <v>36</v>
      </c>
      <c r="U18" s="8" t="s">
        <v>37</v>
      </c>
      <c r="V18" s="8" t="s">
        <v>298</v>
      </c>
      <c r="W18" s="8"/>
      <c r="X18" s="8" t="s">
        <v>38</v>
      </c>
      <c r="Y18" s="8" t="s">
        <v>39</v>
      </c>
      <c r="Z18" s="8" t="s">
        <v>40</v>
      </c>
      <c r="AA18" s="8"/>
      <c r="AB18" s="8" t="s">
        <v>41</v>
      </c>
      <c r="AC18" s="8"/>
      <c r="AD18" s="8"/>
      <c r="AE18" s="8"/>
      <c r="AF18" s="8"/>
      <c r="AG18" s="8"/>
      <c r="AH18" s="8"/>
    </row>
    <row r="19" spans="3:34" ht="5.25" customHeight="1" x14ac:dyDescent="0.25"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</row>
    <row r="20" spans="3:34" x14ac:dyDescent="0.25">
      <c r="C20" s="7" t="s">
        <v>21</v>
      </c>
      <c r="E20" s="9"/>
      <c r="F20" s="9"/>
      <c r="G20" s="9"/>
      <c r="H20" s="9"/>
      <c r="I20" s="9"/>
      <c r="J20" s="9"/>
      <c r="K20" s="8"/>
      <c r="L20" s="9"/>
      <c r="M20" s="9"/>
      <c r="N20" s="8"/>
      <c r="O20" s="9"/>
      <c r="P20" s="9"/>
      <c r="Q20" s="9"/>
      <c r="R20" s="9"/>
      <c r="S20" s="9"/>
      <c r="T20" s="9"/>
      <c r="U20" s="9"/>
      <c r="V20" s="9"/>
      <c r="W20" s="8"/>
      <c r="X20" s="9"/>
      <c r="Y20" s="9"/>
      <c r="Z20" s="9"/>
      <c r="AA20" s="8"/>
      <c r="AB20" s="35" t="s">
        <v>301</v>
      </c>
      <c r="AC20" s="8"/>
      <c r="AD20" s="8"/>
      <c r="AE20" s="8"/>
      <c r="AF20" s="8"/>
      <c r="AG20" s="8"/>
      <c r="AH20" s="8"/>
    </row>
    <row r="21" spans="3:34" x14ac:dyDescent="0.25">
      <c r="E21" s="8"/>
      <c r="F21" s="8"/>
      <c r="G21" s="8"/>
      <c r="H21" s="8"/>
      <c r="I21" s="8"/>
      <c r="J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</row>
    <row r="22" spans="3:34" x14ac:dyDescent="0.25">
      <c r="C22" s="7" t="s">
        <v>126</v>
      </c>
      <c r="E22" s="10">
        <f>ROUND(IF(E20&lt;&gt;"",'Type calc'!E2,0),2)</f>
        <v>0</v>
      </c>
      <c r="F22" s="10">
        <f>ROUND(IF(F20&lt;&gt;"",'Type calc'!E3,0),2)</f>
        <v>0</v>
      </c>
      <c r="G22" s="10">
        <f>ROUND(IF(G20&lt;&gt;"",'Type calc'!E4,0),2)</f>
        <v>0</v>
      </c>
      <c r="H22" s="10">
        <f>ROUND(IF(H20&lt;&gt;"",'Type calc'!E5,0),2)</f>
        <v>0</v>
      </c>
      <c r="I22" s="10">
        <f>ROUND(IF(I20&lt;&gt;"",'Type calc'!E6,0),2)</f>
        <v>0</v>
      </c>
      <c r="J22" s="10">
        <f>ROUND(IF(J20&lt;&gt;"",'Type calc'!E7,0),2)</f>
        <v>0</v>
      </c>
      <c r="K22" s="10"/>
      <c r="L22" s="10">
        <f>ROUND(IF(L20&lt;&gt;"",'Type calc'!E8,0),2)</f>
        <v>0</v>
      </c>
      <c r="M22" s="10">
        <f>ROUND(IF(M20&lt;&gt;"",'Type calc'!E10,0),2)</f>
        <v>0</v>
      </c>
      <c r="N22" s="10"/>
      <c r="O22" s="10">
        <f>ROUND(IF(O20&lt;&gt;"",'Type calc'!E11,0),2)</f>
        <v>0</v>
      </c>
      <c r="P22" s="10">
        <f>ROUND(IF(P20&lt;&gt;"",'Type calc'!E12,0),2)</f>
        <v>0</v>
      </c>
      <c r="Q22" s="10">
        <f>ROUND(IF(Q20&lt;&gt;"",'Type calc'!E13,0),2)</f>
        <v>0</v>
      </c>
      <c r="R22" s="10">
        <f>ROUND(IF(R20&lt;&gt;"",'Type calc'!E14,0),2)</f>
        <v>0</v>
      </c>
      <c r="S22" s="10">
        <f>ROUND(IF(S20&lt;&gt;"",'Type calc'!E15,0),2)</f>
        <v>0</v>
      </c>
      <c r="T22" s="10">
        <f>ROUND(IF(T20&lt;&gt;"",'Type calc'!E17,0),2)</f>
        <v>0</v>
      </c>
      <c r="U22" s="10">
        <f>ROUND(IF(U20&lt;&gt;"",'Type calc'!E16,0),2)</f>
        <v>0</v>
      </c>
      <c r="V22" s="10">
        <f>ROUND(IF(V20&lt;&gt;"",'Type calc'!E25,0),2)</f>
        <v>0</v>
      </c>
      <c r="W22" s="10"/>
      <c r="X22" s="10">
        <f>ROUND(IF(X20&lt;&gt;"",'Type calc'!E21,0),2)</f>
        <v>0</v>
      </c>
      <c r="Y22" s="10">
        <f>ROUND(IF(Y20&lt;&gt;"",'Type calc'!E23,0),2)</f>
        <v>0</v>
      </c>
      <c r="Z22" s="10">
        <f>ROUND(IF(Z20&lt;&gt;"",'Type calc'!E24,0),2)</f>
        <v>0</v>
      </c>
      <c r="AA22" s="10"/>
      <c r="AB22" s="10" cm="1">
        <f t="array" ref="AB22">ROUND(IF( AND(E20:J20&lt;&gt;"",V12:W12&lt;&gt;""),'Type calc'!E18,0),1)</f>
        <v>0</v>
      </c>
      <c r="AC22" s="10"/>
      <c r="AD22" s="10"/>
      <c r="AE22" s="10"/>
      <c r="AF22" s="8"/>
      <c r="AG22" s="8"/>
      <c r="AH22" s="8"/>
    </row>
    <row r="23" spans="3:34" x14ac:dyDescent="0.25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F23" s="8"/>
      <c r="AG23" s="8"/>
      <c r="AH23" s="8"/>
    </row>
    <row r="26" spans="3:34" ht="21" customHeight="1" x14ac:dyDescent="0.25"/>
  </sheetData>
  <sheetProtection algorithmName="SHA-512" hashValue="erd08HXG5gZMIM/BzuO7Hn+I4UwKqGBxkw5T7gc+QIHPA8JchIDE4KtnLsb3tK69phobZkgEWBc/99mpMvFMXQ==" saltValue="DKdy3ZeOG3Qm3XkazZ+lTg==" spinCount="100000" sheet="1" objects="1" scenarios="1"/>
  <protectedRanges>
    <protectedRange sqref="E12:G12 K12:M12 R12:S12 E20:J20 O20:V20 AG10:AJ11 L20:M20 V12:Y12 X20:AB20" name="Range1"/>
  </protectedRanges>
  <mergeCells count="9">
    <mergeCell ref="G6:J7"/>
    <mergeCell ref="K9:O9"/>
    <mergeCell ref="Q9:T9"/>
    <mergeCell ref="V9:Y9"/>
    <mergeCell ref="AD12:AD14"/>
    <mergeCell ref="AD9:AD11"/>
    <mergeCell ref="AA9:AA10"/>
    <mergeCell ref="E9:I9"/>
    <mergeCell ref="AB9:AB10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60498-701F-4FFB-A222-D14896755257}">
  <sheetPr>
    <pageSetUpPr autoPageBreaks="0"/>
  </sheetPr>
  <dimension ref="A1:H44"/>
  <sheetViews>
    <sheetView workbookViewId="0">
      <selection activeCell="C2" sqref="C2"/>
    </sheetView>
  </sheetViews>
  <sheetFormatPr defaultRowHeight="15" x14ac:dyDescent="0.25"/>
  <cols>
    <col min="1" max="1" width="9.140625" customWidth="1"/>
    <col min="2" max="2" width="13.7109375" customWidth="1"/>
    <col min="13" max="13" width="9.140625" customWidth="1"/>
  </cols>
  <sheetData>
    <row r="1" spans="1:8" x14ac:dyDescent="0.25">
      <c r="A1" s="11" t="s">
        <v>179</v>
      </c>
      <c r="B1" s="11" t="s">
        <v>46</v>
      </c>
      <c r="C1" s="11" t="s">
        <v>176</v>
      </c>
      <c r="D1" s="11" t="s">
        <v>184</v>
      </c>
      <c r="E1" s="11" t="s">
        <v>182</v>
      </c>
      <c r="F1" s="11" t="s">
        <v>185</v>
      </c>
      <c r="G1" s="11" t="s">
        <v>183</v>
      </c>
    </row>
    <row r="2" spans="1:8" x14ac:dyDescent="0.25">
      <c r="A2" t="s">
        <v>157</v>
      </c>
      <c r="B2" t="s">
        <v>131</v>
      </c>
      <c r="C2">
        <f>VLOOKUP(A2,Production!$A:$B,2,FALSE)</f>
        <v>961</v>
      </c>
      <c r="D2">
        <f>HOLtoFRI!E12</f>
        <v>0</v>
      </c>
      <c r="E2">
        <f t="shared" ref="E2:E12" si="0">_xlfn.IFNA(D2+$C2, D2)</f>
        <v>961</v>
      </c>
      <c r="F2">
        <f>FRItoHOL!E12</f>
        <v>0</v>
      </c>
      <c r="G2">
        <f t="shared" ref="G2:G12" si="1">_xlfn.IFNA(F2+-$C2,F2)</f>
        <v>-961</v>
      </c>
    </row>
    <row r="3" spans="1:8" x14ac:dyDescent="0.25">
      <c r="A3" t="s">
        <v>152</v>
      </c>
      <c r="B3" t="s">
        <v>132</v>
      </c>
      <c r="C3">
        <f>VLOOKUP(A3,Production!$A:$B,2,FALSE)</f>
        <v>33.5</v>
      </c>
      <c r="D3">
        <f>HOLtoFRI!F12</f>
        <v>0</v>
      </c>
      <c r="E3">
        <f t="shared" si="0"/>
        <v>33.5</v>
      </c>
      <c r="F3">
        <f>FRItoHOL!F12</f>
        <v>0</v>
      </c>
      <c r="G3">
        <f t="shared" si="1"/>
        <v>-33.5</v>
      </c>
    </row>
    <row r="4" spans="1:8" x14ac:dyDescent="0.25">
      <c r="A4" t="s">
        <v>158</v>
      </c>
      <c r="B4" t="s">
        <v>133</v>
      </c>
      <c r="C4">
        <f>VLOOKUP(A4,Production!$A:$B,2,FALSE)</f>
        <v>29.1</v>
      </c>
      <c r="D4">
        <f>HOLtoFRI!G12</f>
        <v>0</v>
      </c>
      <c r="E4">
        <f t="shared" si="0"/>
        <v>29.1</v>
      </c>
      <c r="F4">
        <f>FRItoHOL!G12</f>
        <v>0</v>
      </c>
      <c r="G4">
        <f t="shared" si="1"/>
        <v>-29.1</v>
      </c>
    </row>
    <row r="5" spans="1:8" x14ac:dyDescent="0.25">
      <c r="A5" t="s">
        <v>153</v>
      </c>
      <c r="B5" t="s">
        <v>172</v>
      </c>
      <c r="C5">
        <f>VLOOKUP(A5,Production!$A:$B,2,FALSE)</f>
        <v>-0.1</v>
      </c>
      <c r="D5">
        <f>HOLtoFRI!H12</f>
        <v>0</v>
      </c>
      <c r="E5">
        <f t="shared" si="0"/>
        <v>-0.1</v>
      </c>
      <c r="F5">
        <f>FRItoHOL!H12</f>
        <v>0</v>
      </c>
      <c r="G5">
        <f t="shared" si="1"/>
        <v>0.1</v>
      </c>
    </row>
    <row r="6" spans="1:8" x14ac:dyDescent="0.25">
      <c r="A6" t="s">
        <v>159</v>
      </c>
      <c r="B6" t="s">
        <v>173</v>
      </c>
      <c r="C6">
        <f>VLOOKUP(A6,Production!$A:$B,2,FALSE)</f>
        <v>-0.04</v>
      </c>
      <c r="D6">
        <f>HOLtoFRI!I12</f>
        <v>0</v>
      </c>
      <c r="E6">
        <f t="shared" si="0"/>
        <v>-0.04</v>
      </c>
      <c r="F6">
        <f>FRItoHOL!I12</f>
        <v>0</v>
      </c>
      <c r="G6">
        <f t="shared" si="1"/>
        <v>0.04</v>
      </c>
    </row>
    <row r="7" spans="1:8" x14ac:dyDescent="0.25">
      <c r="A7" t="s">
        <v>156</v>
      </c>
      <c r="B7" t="s">
        <v>9</v>
      </c>
      <c r="C7">
        <f>VLOOKUP(A7,Production!$A:$B,2,FALSE)*305</f>
        <v>-42.7</v>
      </c>
      <c r="D7">
        <f>HOLtoFRI!K12</f>
        <v>0</v>
      </c>
      <c r="E7">
        <f t="shared" si="0"/>
        <v>-42.7</v>
      </c>
      <c r="F7">
        <f>FRItoHOL!K12</f>
        <v>0</v>
      </c>
      <c r="G7">
        <f t="shared" si="1"/>
        <v>42.7</v>
      </c>
    </row>
    <row r="8" spans="1:8" x14ac:dyDescent="0.25">
      <c r="A8" t="s">
        <v>160</v>
      </c>
      <c r="B8" t="s">
        <v>174</v>
      </c>
      <c r="C8">
        <f>VLOOKUP(A8,Production!$A:$B,2,FALSE)</f>
        <v>-7</v>
      </c>
      <c r="D8">
        <f>HOLtoFRI!L12</f>
        <v>0</v>
      </c>
      <c r="E8">
        <f t="shared" si="0"/>
        <v>-7</v>
      </c>
      <c r="F8">
        <f>FRItoHOL!L12</f>
        <v>0</v>
      </c>
      <c r="G8">
        <f t="shared" si="1"/>
        <v>7</v>
      </c>
    </row>
    <row r="9" spans="1:8" x14ac:dyDescent="0.25">
      <c r="A9" s="21" t="s">
        <v>151</v>
      </c>
      <c r="B9" s="21" t="s">
        <v>13</v>
      </c>
      <c r="C9" s="21">
        <f>VLOOKUP(A9,Production!$A:$B,2,FALSE)</f>
        <v>-2.4</v>
      </c>
      <c r="D9" s="21"/>
      <c r="E9" s="21">
        <f t="shared" si="0"/>
        <v>-2.4</v>
      </c>
      <c r="F9" s="21"/>
      <c r="G9" s="21">
        <f t="shared" si="1"/>
        <v>2.4</v>
      </c>
      <c r="H9" s="21" t="s">
        <v>200</v>
      </c>
    </row>
    <row r="10" spans="1:8" x14ac:dyDescent="0.25">
      <c r="A10" s="21" t="s">
        <v>150</v>
      </c>
      <c r="B10" s="21" t="s">
        <v>14</v>
      </c>
      <c r="C10" s="21">
        <f>VLOOKUP(A10,Production!$A:$B,2,FALSE)</f>
        <v>4.91</v>
      </c>
      <c r="D10" s="21"/>
      <c r="E10" s="21">
        <f t="shared" si="0"/>
        <v>4.91</v>
      </c>
      <c r="F10" s="21"/>
      <c r="G10" s="21">
        <f t="shared" si="1"/>
        <v>-4.91</v>
      </c>
      <c r="H10" s="21" t="s">
        <v>200</v>
      </c>
    </row>
    <row r="11" spans="1:8" x14ac:dyDescent="0.25">
      <c r="A11" s="21" t="s">
        <v>155</v>
      </c>
      <c r="B11" s="21" t="s">
        <v>146</v>
      </c>
      <c r="C11" s="21">
        <f>VLOOKUP(A11,Production!$A:$B,2,FALSE)</f>
        <v>-1</v>
      </c>
      <c r="D11" s="21"/>
      <c r="E11" s="21">
        <f t="shared" si="0"/>
        <v>-1</v>
      </c>
      <c r="F11" s="21"/>
      <c r="G11" s="21">
        <f t="shared" si="1"/>
        <v>1</v>
      </c>
      <c r="H11" s="21" t="s">
        <v>186</v>
      </c>
    </row>
    <row r="12" spans="1:8" x14ac:dyDescent="0.25">
      <c r="A12" s="21" t="s">
        <v>154</v>
      </c>
      <c r="B12" s="21" t="s">
        <v>181</v>
      </c>
      <c r="C12" s="21">
        <f>VLOOKUP(A12,Production!$A:$B,2,FALSE)</f>
        <v>0</v>
      </c>
      <c r="D12" s="21"/>
      <c r="E12" s="21">
        <f t="shared" si="0"/>
        <v>0</v>
      </c>
      <c r="F12" s="21"/>
      <c r="G12" s="21">
        <f t="shared" si="1"/>
        <v>0</v>
      </c>
      <c r="H12" s="21" t="s">
        <v>201</v>
      </c>
    </row>
    <row r="14" spans="1:8" x14ac:dyDescent="0.25">
      <c r="A14" s="15" t="s">
        <v>187</v>
      </c>
      <c r="B14" t="s">
        <v>134</v>
      </c>
      <c r="C14">
        <v>0</v>
      </c>
      <c r="D14">
        <f>HOLtoFRI!M12</f>
        <v>0</v>
      </c>
      <c r="E14">
        <f>_xlfn.IFNA(D14+$C14, D14)</f>
        <v>0</v>
      </c>
      <c r="F14">
        <f>FRItoHOL!M12</f>
        <v>0</v>
      </c>
      <c r="G14">
        <f>_xlfn.IFNA(F14+-$C14,F14)</f>
        <v>0</v>
      </c>
    </row>
    <row r="15" spans="1:8" x14ac:dyDescent="0.25">
      <c r="A15" s="15" t="s">
        <v>187</v>
      </c>
      <c r="B15" t="s">
        <v>15</v>
      </c>
      <c r="C15">
        <v>0</v>
      </c>
      <c r="D15">
        <f>HOLtoFRI!R12</f>
        <v>0</v>
      </c>
      <c r="E15">
        <f>_xlfn.IFNA(D15+$C15, D15)</f>
        <v>0</v>
      </c>
      <c r="F15">
        <f>FRItoHOL!R12</f>
        <v>0</v>
      </c>
      <c r="G15">
        <f>_xlfn.IFNA(F15+-$C15,F15)</f>
        <v>0</v>
      </c>
    </row>
    <row r="16" spans="1:8" x14ac:dyDescent="0.25">
      <c r="A16" s="15" t="s">
        <v>187</v>
      </c>
      <c r="B16" t="s">
        <v>16</v>
      </c>
      <c r="C16">
        <v>0</v>
      </c>
      <c r="D16">
        <f>HOLtoFRI!S12</f>
        <v>0</v>
      </c>
      <c r="E16">
        <f>_xlfn.IFNA(D16+$C16, D16)</f>
        <v>0</v>
      </c>
      <c r="F16">
        <f>FRItoHOL!S12</f>
        <v>0</v>
      </c>
      <c r="G16">
        <f>_xlfn.IFNA(F16+-$C16,F16)</f>
        <v>0</v>
      </c>
    </row>
    <row r="17" spans="1:7" x14ac:dyDescent="0.25">
      <c r="A17" s="15" t="s">
        <v>187</v>
      </c>
      <c r="B17" t="s">
        <v>180</v>
      </c>
      <c r="C17">
        <v>0</v>
      </c>
      <c r="D17">
        <f>HOLtoFRI!T12</f>
        <v>0</v>
      </c>
      <c r="E17">
        <f>_xlfn.IFNA(D17+$C17, D17)</f>
        <v>0</v>
      </c>
      <c r="F17">
        <f>FRItoHOL!T12</f>
        <v>0</v>
      </c>
      <c r="G17">
        <f>_xlfn.IFNA(F17+-$C17,F17)</f>
        <v>0</v>
      </c>
    </row>
    <row r="19" spans="1:7" x14ac:dyDescent="0.25">
      <c r="A19" s="15" t="s">
        <v>189</v>
      </c>
      <c r="B19" t="s">
        <v>12</v>
      </c>
      <c r="C19">
        <v>-9.8000000000000007</v>
      </c>
      <c r="D19">
        <f>HOLtoFRI!Q12</f>
        <v>0</v>
      </c>
      <c r="E19">
        <f>_xlfn.IFNA(D19+$C19, D19)</f>
        <v>-9.8000000000000007</v>
      </c>
      <c r="F19">
        <f>FRItoHOL!Q12</f>
        <v>0</v>
      </c>
      <c r="G19">
        <f>_xlfn.IFNA(F19+-$C19,F19)</f>
        <v>9.8000000000000007</v>
      </c>
    </row>
    <row r="20" spans="1:7" x14ac:dyDescent="0.25">
      <c r="A20" s="15" t="s">
        <v>189</v>
      </c>
      <c r="B20" t="s">
        <v>175</v>
      </c>
      <c r="C20">
        <v>28.7</v>
      </c>
      <c r="D20">
        <f>HOLtoFRI!X12</f>
        <v>0</v>
      </c>
      <c r="E20">
        <f>_xlfn.IFNA(D20+$C20, D20)</f>
        <v>28.7</v>
      </c>
      <c r="F20">
        <f>FRItoHOL!X12</f>
        <v>0</v>
      </c>
      <c r="G20">
        <f>_xlfn.IFNA(F20+-$C20,F20)</f>
        <v>-28.7</v>
      </c>
    </row>
    <row r="21" spans="1:7" x14ac:dyDescent="0.25">
      <c r="A21" s="15" t="s">
        <v>189</v>
      </c>
      <c r="B21" t="s">
        <v>188</v>
      </c>
      <c r="C21">
        <v>0.4</v>
      </c>
      <c r="D21">
        <f>HOLtoFRI!AA12</f>
        <v>0</v>
      </c>
      <c r="E21">
        <f>_xlfn.IFNA(D21+$C21, D21)</f>
        <v>0.4</v>
      </c>
      <c r="F21">
        <f>FRItoHOL!AA12</f>
        <v>0</v>
      </c>
      <c r="G21">
        <f>_xlfn.IFNA(F21+-$C21,F21)</f>
        <v>-0.4</v>
      </c>
    </row>
    <row r="22" spans="1:7" x14ac:dyDescent="0.25">
      <c r="A22" s="15" t="s">
        <v>189</v>
      </c>
      <c r="B22" t="s">
        <v>196</v>
      </c>
      <c r="C22">
        <v>-49</v>
      </c>
      <c r="D22">
        <f>HOLtoFRI!AB12</f>
        <v>0</v>
      </c>
      <c r="E22">
        <f>_xlfn.IFNA(D22+$C22, D22)</f>
        <v>-49</v>
      </c>
      <c r="F22">
        <f>FRItoHOL!AB12</f>
        <v>0</v>
      </c>
      <c r="G22">
        <f>_xlfn.IFNA(F22+-$C22,F22)</f>
        <v>49</v>
      </c>
    </row>
    <row r="23" spans="1:7" x14ac:dyDescent="0.25">
      <c r="A23" s="15" t="s">
        <v>189</v>
      </c>
      <c r="B23" t="s">
        <v>197</v>
      </c>
      <c r="C23">
        <v>0</v>
      </c>
      <c r="D23">
        <f>HOLtoFRI!O12</f>
        <v>0</v>
      </c>
      <c r="E23">
        <f>_xlfn.IFNA(D23+$C23, D23)</f>
        <v>0</v>
      </c>
      <c r="F23">
        <f>FRItoHOL!O12</f>
        <v>0</v>
      </c>
      <c r="G23">
        <f>_xlfn.IFNA(F23+-$C23,F23)</f>
        <v>0</v>
      </c>
    </row>
    <row r="29" spans="1:7" x14ac:dyDescent="0.25">
      <c r="B29" s="17"/>
    </row>
    <row r="34" spans="2:2" x14ac:dyDescent="0.25">
      <c r="B34" s="17"/>
    </row>
    <row r="39" spans="2:2" x14ac:dyDescent="0.25">
      <c r="B39" s="17"/>
    </row>
    <row r="44" spans="2:2" x14ac:dyDescent="0.25">
      <c r="B44" s="1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5529D-EB60-4D27-A511-76026EBFFBB6}">
  <sheetPr>
    <pageSetUpPr autoPageBreaks="0"/>
  </sheetPr>
  <dimension ref="C1:AK26"/>
  <sheetViews>
    <sheetView showGridLines="0" tabSelected="1" zoomScaleNormal="100" workbookViewId="0">
      <selection activeCell="E12" sqref="E12"/>
    </sheetView>
  </sheetViews>
  <sheetFormatPr defaultRowHeight="15" x14ac:dyDescent="0.25"/>
  <cols>
    <col min="1" max="1" width="4.140625" style="1" customWidth="1"/>
    <col min="2" max="2" width="4.28515625" style="1" customWidth="1"/>
    <col min="3" max="3" width="7.42578125" style="1" customWidth="1"/>
    <col min="4" max="4" width="2.28515625" style="1" customWidth="1"/>
    <col min="5" max="10" width="9.140625" style="1"/>
    <col min="11" max="12" width="9.140625" style="1" customWidth="1"/>
    <col min="13" max="17" width="9.140625" style="1"/>
    <col min="18" max="18" width="9.140625" style="1" customWidth="1"/>
    <col min="19" max="29" width="9.140625" style="1"/>
    <col min="30" max="30" width="13" style="1" customWidth="1"/>
    <col min="31" max="32" width="9.140625" style="1"/>
    <col min="33" max="33" width="9.140625" style="1" customWidth="1"/>
    <col min="34" max="34" width="9.140625" style="1"/>
    <col min="35" max="35" width="9.140625" style="1" customWidth="1"/>
    <col min="36" max="16384" width="9.140625" style="1"/>
  </cols>
  <sheetData>
    <row r="1" spans="3:37" ht="19.5" customHeight="1" x14ac:dyDescent="0.25"/>
    <row r="2" spans="3:37" ht="23.25" x14ac:dyDescent="0.35">
      <c r="G2" s="2" t="s">
        <v>295</v>
      </c>
      <c r="N2" s="3"/>
      <c r="O2" s="3"/>
      <c r="P2" s="3"/>
      <c r="R2" s="4" t="str">
        <f ca="1">IF(TODAY()&gt;=Date!C2,Date!B2,"")</f>
        <v/>
      </c>
    </row>
    <row r="3" spans="3:37" ht="18" customHeight="1" x14ac:dyDescent="0.25">
      <c r="G3" s="5" t="str">
        <f>Date!A2</f>
        <v>April 2025</v>
      </c>
    </row>
    <row r="4" spans="3:37" ht="13.5" customHeight="1" x14ac:dyDescent="0.25"/>
    <row r="5" spans="3:37" ht="13.5" customHeight="1" x14ac:dyDescent="0.25"/>
    <row r="6" spans="3:37" ht="13.5" customHeight="1" x14ac:dyDescent="0.25">
      <c r="G6" s="42" t="s">
        <v>300</v>
      </c>
      <c r="H6" s="42"/>
      <c r="I6" s="42"/>
      <c r="J6" s="42"/>
    </row>
    <row r="7" spans="3:37" ht="15" customHeight="1" x14ac:dyDescent="0.25">
      <c r="G7" s="42"/>
      <c r="H7" s="42"/>
      <c r="I7" s="42"/>
      <c r="J7" s="42"/>
    </row>
    <row r="9" spans="3:37" ht="21" x14ac:dyDescent="0.35">
      <c r="C9" s="6"/>
      <c r="E9" s="43" t="s">
        <v>0</v>
      </c>
      <c r="F9" s="43"/>
      <c r="G9" s="43"/>
      <c r="H9" s="43"/>
      <c r="I9" s="43"/>
      <c r="J9" s="7"/>
      <c r="K9" s="43" t="s">
        <v>1</v>
      </c>
      <c r="L9" s="43"/>
      <c r="M9" s="43"/>
      <c r="N9" s="43"/>
      <c r="O9" s="43"/>
      <c r="P9" s="10"/>
      <c r="Q9" s="43" t="s">
        <v>2</v>
      </c>
      <c r="R9" s="43"/>
      <c r="S9" s="43"/>
      <c r="T9" s="43"/>
      <c r="U9" s="10"/>
      <c r="V9" s="43" t="s">
        <v>3</v>
      </c>
      <c r="W9" s="43"/>
      <c r="X9" s="43"/>
      <c r="Y9" s="43"/>
      <c r="AA9" s="46" t="s">
        <v>198</v>
      </c>
      <c r="AB9" s="46" t="s">
        <v>199</v>
      </c>
      <c r="AC9" s="10"/>
      <c r="AD9" s="45" t="s">
        <v>22</v>
      </c>
    </row>
    <row r="10" spans="3:37" ht="15" customHeight="1" x14ac:dyDescent="0.25">
      <c r="E10" s="8" t="s">
        <v>4</v>
      </c>
      <c r="F10" s="8" t="s">
        <v>5</v>
      </c>
      <c r="G10" s="8" t="s">
        <v>6</v>
      </c>
      <c r="H10" s="8" t="s">
        <v>7</v>
      </c>
      <c r="I10" s="8" t="s">
        <v>8</v>
      </c>
      <c r="J10" s="8"/>
      <c r="K10" s="8" t="s">
        <v>9</v>
      </c>
      <c r="L10" s="8" t="s">
        <v>10</v>
      </c>
      <c r="M10" s="8" t="s">
        <v>11</v>
      </c>
      <c r="N10" s="1" t="s">
        <v>146</v>
      </c>
      <c r="O10" s="8" t="s">
        <v>192</v>
      </c>
      <c r="Q10" s="8" t="s">
        <v>12</v>
      </c>
      <c r="R10" s="8" t="s">
        <v>15</v>
      </c>
      <c r="S10" s="8" t="s">
        <v>16</v>
      </c>
      <c r="T10" s="1" t="s">
        <v>191</v>
      </c>
      <c r="V10" s="8" t="s">
        <v>17</v>
      </c>
      <c r="W10" s="8" t="s">
        <v>18</v>
      </c>
      <c r="X10" s="8" t="s">
        <v>19</v>
      </c>
      <c r="Y10" s="8" t="s">
        <v>20</v>
      </c>
      <c r="AA10" s="46"/>
      <c r="AB10" s="46"/>
      <c r="AD10" s="45"/>
    </row>
    <row r="11" spans="3:37" ht="4.5" customHeight="1" x14ac:dyDescent="0.25">
      <c r="AD11" s="45"/>
    </row>
    <row r="12" spans="3:37" ht="15" customHeight="1" x14ac:dyDescent="0.25">
      <c r="C12" s="14" t="s">
        <v>126</v>
      </c>
      <c r="E12" s="9"/>
      <c r="F12" s="9"/>
      <c r="G12" s="9"/>
      <c r="H12" s="9"/>
      <c r="I12" s="9"/>
      <c r="J12" s="8"/>
      <c r="K12" s="9"/>
      <c r="L12" s="9"/>
      <c r="M12" s="9"/>
      <c r="N12" s="9"/>
      <c r="O12" s="9"/>
      <c r="P12" s="8"/>
      <c r="Q12" s="9"/>
      <c r="R12" s="9"/>
      <c r="S12" s="9"/>
      <c r="T12" s="9"/>
      <c r="U12" s="8"/>
      <c r="V12" s="9"/>
      <c r="W12" s="9"/>
      <c r="X12" s="9"/>
      <c r="Y12" s="9"/>
      <c r="Z12" s="8"/>
      <c r="AA12" s="9"/>
      <c r="AB12" s="9"/>
      <c r="AC12" s="8"/>
      <c r="AD12" s="44">
        <f>PLI_REVs!X10</f>
        <v>-279</v>
      </c>
      <c r="AE12" s="8"/>
      <c r="AF12" s="8"/>
      <c r="AG12" s="8"/>
      <c r="AH12" s="8"/>
    </row>
    <row r="13" spans="3:37" ht="15" customHeight="1" x14ac:dyDescent="0.25">
      <c r="C13" s="14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44"/>
      <c r="AE13" s="8"/>
      <c r="AF13" s="8"/>
      <c r="AG13" s="8"/>
      <c r="AH13" s="8"/>
    </row>
    <row r="14" spans="3:37" ht="15" customHeight="1" x14ac:dyDescent="0.25">
      <c r="C14" s="14" t="s">
        <v>21</v>
      </c>
      <c r="E14" s="10">
        <f>ROUND('Production calc'!G2,0)</f>
        <v>-961</v>
      </c>
      <c r="F14" s="10">
        <f>ROUND('Production calc'!G3,1)</f>
        <v>-33.5</v>
      </c>
      <c r="G14" s="10">
        <f>ROUND('Production calc'!G4,1)</f>
        <v>-29.1</v>
      </c>
      <c r="H14" s="10">
        <f>ROUND('Production calc'!G5,2)</f>
        <v>0.1</v>
      </c>
      <c r="I14" s="10">
        <f>ROUND('Production calc'!G6,2)</f>
        <v>0.04</v>
      </c>
      <c r="J14" s="10"/>
      <c r="K14" s="10">
        <f>ROUND('Production calc'!G7,0)</f>
        <v>43</v>
      </c>
      <c r="L14" s="10">
        <f>ROUND('Production calc'!G8,0)</f>
        <v>7</v>
      </c>
      <c r="M14" s="10">
        <f>ROUND('Production calc'!G14,0)</f>
        <v>0</v>
      </c>
      <c r="N14" s="10">
        <f>ROUND(N12,1)</f>
        <v>0</v>
      </c>
      <c r="O14" s="10">
        <f>ROUND('Production calc'!G23,1)</f>
        <v>0</v>
      </c>
      <c r="P14" s="10"/>
      <c r="Q14" s="10">
        <f>ROUND('Production calc'!G19,1)</f>
        <v>9.8000000000000007</v>
      </c>
      <c r="R14" s="10">
        <f>ROUND('Production calc'!G15,1)</f>
        <v>0</v>
      </c>
      <c r="S14" s="10">
        <f>ROUND('Production calc'!G16,1)</f>
        <v>0</v>
      </c>
      <c r="T14" s="10">
        <f>ROUND('Production calc'!G17,1)</f>
        <v>0</v>
      </c>
      <c r="U14" s="10"/>
      <c r="V14" s="10">
        <f>ROUND('Type calc'!G20,1)</f>
        <v>-1.6</v>
      </c>
      <c r="W14" s="10">
        <f>ROUND('Type calc'!G19,1)</f>
        <v>-4.2</v>
      </c>
      <c r="X14" s="10">
        <f>ROUND('Production calc'!G20,0)</f>
        <v>-29</v>
      </c>
      <c r="Y14" s="10">
        <f>ROUND('Type calc'!G22,0)</f>
        <v>5</v>
      </c>
      <c r="Z14" s="10"/>
      <c r="AA14" s="10">
        <f>ROUND('Production calc'!G21,1)</f>
        <v>-0.4</v>
      </c>
      <c r="AB14" s="10">
        <f>ROUND('Production calc'!G22,0)</f>
        <v>49</v>
      </c>
      <c r="AC14" s="8"/>
      <c r="AD14" s="44"/>
      <c r="AE14" s="8"/>
      <c r="AF14" s="8"/>
      <c r="AG14" s="8"/>
      <c r="AH14" s="8"/>
    </row>
    <row r="15" spans="3:37" ht="15" customHeight="1" x14ac:dyDescent="0.25"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</row>
    <row r="16" spans="3:37" ht="15" customHeight="1" x14ac:dyDescent="0.25"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</row>
    <row r="18" spans="3:33" x14ac:dyDescent="0.25">
      <c r="E18" s="8" t="s">
        <v>23</v>
      </c>
      <c r="F18" s="8" t="s">
        <v>24</v>
      </c>
      <c r="G18" s="8" t="s">
        <v>25</v>
      </c>
      <c r="H18" s="8" t="s">
        <v>26</v>
      </c>
      <c r="I18" s="8" t="s">
        <v>27</v>
      </c>
      <c r="J18" s="8" t="s">
        <v>28</v>
      </c>
      <c r="K18" s="8"/>
      <c r="L18" s="8" t="s">
        <v>29</v>
      </c>
      <c r="M18" s="8" t="s">
        <v>30</v>
      </c>
      <c r="N18" s="8"/>
      <c r="O18" s="8" t="s">
        <v>31</v>
      </c>
      <c r="P18" s="8" t="s">
        <v>32</v>
      </c>
      <c r="Q18" s="8" t="s">
        <v>33</v>
      </c>
      <c r="R18" s="8" t="s">
        <v>34</v>
      </c>
      <c r="S18" s="8" t="s">
        <v>35</v>
      </c>
      <c r="T18" s="8" t="s">
        <v>36</v>
      </c>
      <c r="U18" s="8" t="s">
        <v>37</v>
      </c>
      <c r="V18" s="8" t="s">
        <v>298</v>
      </c>
      <c r="W18" s="8"/>
      <c r="X18" s="8" t="s">
        <v>38</v>
      </c>
      <c r="Y18" s="8" t="s">
        <v>39</v>
      </c>
      <c r="Z18" s="8" t="s">
        <v>40</v>
      </c>
      <c r="AA18" s="8"/>
      <c r="AB18" s="8" t="s">
        <v>41</v>
      </c>
      <c r="AC18" s="8"/>
      <c r="AD18" s="8"/>
      <c r="AE18" s="8"/>
    </row>
    <row r="19" spans="3:33" ht="5.25" customHeight="1" x14ac:dyDescent="0.25"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</row>
    <row r="20" spans="3:33" x14ac:dyDescent="0.25">
      <c r="C20" s="7" t="s">
        <v>126</v>
      </c>
      <c r="E20" s="9"/>
      <c r="F20" s="9"/>
      <c r="G20" s="9"/>
      <c r="H20" s="9"/>
      <c r="I20" s="9"/>
      <c r="J20" s="9"/>
      <c r="K20" s="8"/>
      <c r="L20" s="9"/>
      <c r="M20" s="9"/>
      <c r="N20" s="8"/>
      <c r="O20" s="9"/>
      <c r="P20" s="9"/>
      <c r="Q20" s="9"/>
      <c r="R20" s="9"/>
      <c r="S20" s="9"/>
      <c r="T20" s="9"/>
      <c r="U20" s="9"/>
      <c r="V20" s="9"/>
      <c r="W20" s="8"/>
      <c r="X20" s="9"/>
      <c r="Y20" s="9"/>
      <c r="Z20" s="9"/>
      <c r="AA20" s="8"/>
      <c r="AB20" s="35" t="s">
        <v>301</v>
      </c>
      <c r="AC20" s="8"/>
      <c r="AD20" s="8"/>
      <c r="AE20" s="8"/>
    </row>
    <row r="21" spans="3:33" x14ac:dyDescent="0.25">
      <c r="E21" s="8"/>
      <c r="F21" s="8"/>
      <c r="G21" s="8"/>
      <c r="H21" s="8"/>
      <c r="I21" s="8"/>
      <c r="J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</row>
    <row r="22" spans="3:33" x14ac:dyDescent="0.25">
      <c r="C22" s="7" t="s">
        <v>21</v>
      </c>
      <c r="E22" s="10">
        <f>ROUND(IF(E20&lt;&gt;"",'Type calc'!G2,0),2)</f>
        <v>0</v>
      </c>
      <c r="F22" s="10">
        <f>ROUND(IF(F20&lt;&gt;"",'Type calc'!G3,0),2)</f>
        <v>0</v>
      </c>
      <c r="G22" s="10">
        <f>ROUND(IF(G20&lt;&gt;"",'Type calc'!G4,0),2)</f>
        <v>0</v>
      </c>
      <c r="H22" s="10">
        <f>ROUND(IF(H20&lt;&gt;"",'Type calc'!G5,0),2)</f>
        <v>0</v>
      </c>
      <c r="I22" s="10">
        <f>ROUND(IF(I20&lt;&gt;"",'Type calc'!G6,0),2)</f>
        <v>0</v>
      </c>
      <c r="J22" s="10">
        <f>ROUND(IF(J20&lt;&gt;"",'Type calc'!G7,0),2)</f>
        <v>0</v>
      </c>
      <c r="K22" s="10"/>
      <c r="L22" s="10">
        <f>ROUND(IF(L20&lt;&gt;"",'Type calc'!G8,0),2)</f>
        <v>0</v>
      </c>
      <c r="M22" s="10">
        <f>ROUND(IF(M20&lt;&gt;"",'Type calc'!G10,0),2)</f>
        <v>0</v>
      </c>
      <c r="N22" s="10"/>
      <c r="O22" s="10">
        <f>ROUND(IF(O20&lt;&gt;"",'Type calc'!G11,0),2)</f>
        <v>0</v>
      </c>
      <c r="P22" s="10">
        <f>ROUND(IF(P20&lt;&gt;"",'Type calc'!G12,0),2)</f>
        <v>0</v>
      </c>
      <c r="Q22" s="10">
        <f>ROUND(IF(Q20&lt;&gt;"",'Type calc'!G13,0),2)</f>
        <v>0</v>
      </c>
      <c r="R22" s="10">
        <f>ROUND(IF(R20&lt;&gt;"",'Type calc'!G14,0),2)</f>
        <v>0</v>
      </c>
      <c r="S22" s="10">
        <f>ROUND(IF(S20&lt;&gt;"",'Type calc'!G15,0),2)</f>
        <v>0</v>
      </c>
      <c r="T22" s="10">
        <f>ROUND(IF(T20&lt;&gt;"",'Type calc'!G17,0),2)</f>
        <v>0</v>
      </c>
      <c r="U22" s="10">
        <f>ROUND(IF(U20&lt;&gt;"",'Type calc'!G16,0),2)</f>
        <v>0</v>
      </c>
      <c r="V22" s="10">
        <f>ROUND(IF(V20&lt;&gt;"",'Type calc'!G25,0),2)</f>
        <v>0</v>
      </c>
      <c r="W22" s="10"/>
      <c r="X22" s="10">
        <f>ROUND(IF(X20&lt;&gt;"",'Type calc'!G21,0),2)</f>
        <v>0</v>
      </c>
      <c r="Y22" s="10">
        <f>ROUND(IF(Y20&lt;&gt;"",'Type calc'!G23,0),2)</f>
        <v>0</v>
      </c>
      <c r="Z22" s="10">
        <f>ROUND(IF(Z20&lt;&gt;"",'Type calc'!G24,0),2)</f>
        <v>0</v>
      </c>
      <c r="AA22" s="10"/>
      <c r="AB22" s="10" cm="1">
        <f t="array" ref="AB22">ROUND(IF(AND(E20:F20&lt;&gt;"",H20&lt;&gt;"",V12:W12&lt;&gt;""),TMWeightings!L18,0),1)</f>
        <v>0</v>
      </c>
      <c r="AC22" s="10"/>
      <c r="AD22" s="10"/>
      <c r="AE22" s="10"/>
      <c r="AG22" s="10"/>
    </row>
    <row r="23" spans="3:33" x14ac:dyDescent="0.25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</row>
    <row r="26" spans="3:33" ht="21" customHeight="1" x14ac:dyDescent="0.25"/>
  </sheetData>
  <sheetProtection algorithmName="SHA-512" hashValue="AAFORzQlja1epnyJu0xgI3VIEP4xIIlMDmOnrVZ1PSrU4uUUM1pbpvp5kyb+qPUhOeQ1VjvVMoR6w6IFharCxA==" saltValue="+724tnSWE1M8SP0hv2rXww==" spinCount="100000" sheet="1" objects="1" scenarios="1"/>
  <protectedRanges>
    <protectedRange sqref="E12:G12 K12:M12 R12:S12 E20:J20 O20:V20 AG10:AJ11 L20:M20 V12:Y12 X20:AB20" name="Range1"/>
  </protectedRanges>
  <mergeCells count="9">
    <mergeCell ref="AB9:AB10"/>
    <mergeCell ref="AD9:AD11"/>
    <mergeCell ref="AD12:AD14"/>
    <mergeCell ref="G6:J7"/>
    <mergeCell ref="E9:I9"/>
    <mergeCell ref="K9:O9"/>
    <mergeCell ref="Q9:T9"/>
    <mergeCell ref="V9:Y9"/>
    <mergeCell ref="AA9:AA10"/>
  </mergeCells>
  <pageMargins left="0.7" right="0.7" top="0.75" bottom="0.75" header="0.3" footer="0.3"/>
  <pageSetup paperSize="9" orientation="portrait" r:id="rId1"/>
  <ignoredErrors>
    <ignoredError sqref="AB22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EDE0A-38C0-4456-AB75-EDAB9A630FD2}">
  <sheetPr>
    <pageSetUpPr autoPageBreaks="0"/>
  </sheetPr>
  <dimension ref="A1:C2"/>
  <sheetViews>
    <sheetView workbookViewId="0">
      <selection activeCell="C2" sqref="C2"/>
    </sheetView>
  </sheetViews>
  <sheetFormatPr defaultRowHeight="15" x14ac:dyDescent="0.25"/>
  <cols>
    <col min="1" max="1" width="12.28515625" bestFit="1" customWidth="1"/>
    <col min="2" max="2" width="9.5703125" customWidth="1"/>
    <col min="3" max="3" width="16.85546875" customWidth="1"/>
  </cols>
  <sheetData>
    <row r="1" spans="1:3" x14ac:dyDescent="0.25">
      <c r="A1" s="11" t="s">
        <v>42</v>
      </c>
      <c r="B1" s="11" t="s">
        <v>43</v>
      </c>
      <c r="C1" s="11" t="s">
        <v>44</v>
      </c>
    </row>
    <row r="2" spans="1:3" x14ac:dyDescent="0.25">
      <c r="A2" s="40" t="s">
        <v>305</v>
      </c>
      <c r="B2" t="s">
        <v>45</v>
      </c>
      <c r="C2" s="41">
        <v>45881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6E869-88E3-40AF-9B6F-9DC3D16CBE02}">
  <sheetPr>
    <pageSetUpPr autoPageBreaks="0"/>
  </sheetPr>
  <dimension ref="A1:AA13"/>
  <sheetViews>
    <sheetView workbookViewId="0">
      <selection activeCell="C2" sqref="C2"/>
    </sheetView>
  </sheetViews>
  <sheetFormatPr defaultRowHeight="15" x14ac:dyDescent="0.25"/>
  <cols>
    <col min="17" max="18" width="9.140625" style="21"/>
    <col min="23" max="23" width="9.140625" style="21"/>
  </cols>
  <sheetData>
    <row r="1" spans="1:27" s="18" customFormat="1" x14ac:dyDescent="0.25">
      <c r="L1" s="18" t="s">
        <v>138</v>
      </c>
      <c r="M1" s="18" t="s">
        <v>14</v>
      </c>
      <c r="Q1" s="22" t="s">
        <v>194</v>
      </c>
      <c r="R1" s="22" t="s">
        <v>193</v>
      </c>
      <c r="W1" s="22" t="s">
        <v>195</v>
      </c>
    </row>
    <row r="2" spans="1:27" s="18" customFormat="1" x14ac:dyDescent="0.25">
      <c r="Q2" s="22"/>
      <c r="R2" s="22"/>
      <c r="W2" s="22"/>
    </row>
    <row r="3" spans="1:27" x14ac:dyDescent="0.25">
      <c r="A3" s="11" t="s">
        <v>190</v>
      </c>
      <c r="B3" t="s">
        <v>127</v>
      </c>
      <c r="C3" t="s">
        <v>131</v>
      </c>
      <c r="D3" t="s">
        <v>132</v>
      </c>
      <c r="E3" t="s">
        <v>133</v>
      </c>
      <c r="F3" t="s">
        <v>202</v>
      </c>
      <c r="G3" t="s">
        <v>10</v>
      </c>
      <c r="H3" t="s">
        <v>134</v>
      </c>
      <c r="I3" t="s">
        <v>135</v>
      </c>
      <c r="J3" t="s">
        <v>136</v>
      </c>
      <c r="K3" t="s">
        <v>137</v>
      </c>
      <c r="L3" t="s">
        <v>12</v>
      </c>
      <c r="N3" t="s">
        <v>139</v>
      </c>
      <c r="O3" t="s">
        <v>140</v>
      </c>
      <c r="P3" t="s">
        <v>141</v>
      </c>
      <c r="Q3" s="21" t="s">
        <v>142</v>
      </c>
      <c r="R3" s="21" t="s">
        <v>143</v>
      </c>
      <c r="S3" t="s">
        <v>144</v>
      </c>
      <c r="T3" t="s">
        <v>145</v>
      </c>
      <c r="U3" t="s">
        <v>146</v>
      </c>
      <c r="V3" t="s">
        <v>147</v>
      </c>
      <c r="W3" s="21" t="s">
        <v>148</v>
      </c>
      <c r="X3" t="s">
        <v>128</v>
      </c>
    </row>
    <row r="4" spans="1:27" x14ac:dyDescent="0.25">
      <c r="A4" t="s">
        <v>21</v>
      </c>
      <c r="B4" t="s">
        <v>129</v>
      </c>
      <c r="C4">
        <v>-0.04</v>
      </c>
      <c r="D4">
        <v>1.5</v>
      </c>
      <c r="E4">
        <v>3.7</v>
      </c>
      <c r="F4">
        <v>0.12754098360655738</v>
      </c>
      <c r="G4">
        <v>-0.5</v>
      </c>
      <c r="H4">
        <v>-2.5</v>
      </c>
      <c r="I4">
        <v>0</v>
      </c>
      <c r="J4">
        <v>4.0999999999999996</v>
      </c>
      <c r="K4">
        <v>3.5</v>
      </c>
      <c r="L4">
        <v>2.2999999999999998</v>
      </c>
      <c r="N4">
        <v>1.9</v>
      </c>
      <c r="O4">
        <v>0.8</v>
      </c>
      <c r="P4">
        <v>-0.81</v>
      </c>
      <c r="Q4" s="21">
        <v>8.7999999999999995E-2</v>
      </c>
      <c r="R4" s="21">
        <v>1.44</v>
      </c>
      <c r="S4">
        <v>2.6</v>
      </c>
      <c r="T4">
        <v>3.1</v>
      </c>
      <c r="U4">
        <v>2.0499999999999998</v>
      </c>
      <c r="V4">
        <v>1</v>
      </c>
      <c r="W4" s="21">
        <v>-0.13300000000000001</v>
      </c>
      <c r="X4">
        <v>3.5</v>
      </c>
    </row>
    <row r="5" spans="1:27" x14ac:dyDescent="0.25">
      <c r="A5" t="s">
        <v>126</v>
      </c>
      <c r="B5" t="s">
        <v>129</v>
      </c>
      <c r="C5">
        <v>-0.04</v>
      </c>
      <c r="D5">
        <v>1.5</v>
      </c>
      <c r="E5">
        <v>3.7</v>
      </c>
      <c r="F5">
        <v>0.12754098360655738</v>
      </c>
      <c r="G5">
        <v>-0.5</v>
      </c>
      <c r="H5">
        <v>-2.5</v>
      </c>
      <c r="I5">
        <v>0</v>
      </c>
      <c r="J5">
        <v>3.9</v>
      </c>
      <c r="K5">
        <v>4.5</v>
      </c>
      <c r="L5">
        <v>2.2999999999999998</v>
      </c>
      <c r="N5">
        <v>1.9</v>
      </c>
      <c r="O5">
        <v>0.8</v>
      </c>
      <c r="P5">
        <v>-0.81</v>
      </c>
      <c r="Q5" s="21">
        <v>8.7999999999999995E-2</v>
      </c>
      <c r="R5" s="21">
        <v>1.44</v>
      </c>
      <c r="S5">
        <v>2.6</v>
      </c>
      <c r="T5">
        <v>3.1</v>
      </c>
      <c r="U5">
        <v>2.0499999999999998</v>
      </c>
      <c r="V5">
        <v>1</v>
      </c>
      <c r="W5" s="21">
        <v>-0.13300000000000001</v>
      </c>
      <c r="X5">
        <v>3.9</v>
      </c>
    </row>
    <row r="7" spans="1:27" x14ac:dyDescent="0.25">
      <c r="AA7" s="13"/>
    </row>
    <row r="8" spans="1:27" x14ac:dyDescent="0.25">
      <c r="C8" t="s">
        <v>131</v>
      </c>
      <c r="D8" t="s">
        <v>132</v>
      </c>
      <c r="E8" t="s">
        <v>133</v>
      </c>
      <c r="F8" t="s">
        <v>202</v>
      </c>
      <c r="G8" t="s">
        <v>10</v>
      </c>
      <c r="H8" t="s">
        <v>134</v>
      </c>
      <c r="I8" t="s">
        <v>135</v>
      </c>
      <c r="J8" t="s">
        <v>136</v>
      </c>
      <c r="K8" t="s">
        <v>137</v>
      </c>
      <c r="L8" t="s">
        <v>12</v>
      </c>
      <c r="N8" t="s">
        <v>139</v>
      </c>
      <c r="O8" t="s">
        <v>140</v>
      </c>
      <c r="P8" t="s">
        <v>141</v>
      </c>
      <c r="Q8" s="21" t="s">
        <v>142</v>
      </c>
      <c r="R8" s="21" t="s">
        <v>143</v>
      </c>
      <c r="S8" t="s">
        <v>144</v>
      </c>
      <c r="T8" t="s">
        <v>145</v>
      </c>
      <c r="U8" t="s">
        <v>146</v>
      </c>
      <c r="V8" t="s">
        <v>147</v>
      </c>
      <c r="W8" s="21" t="s">
        <v>148</v>
      </c>
      <c r="AA8" s="13"/>
    </row>
    <row r="9" spans="1:27" x14ac:dyDescent="0.25">
      <c r="A9" t="s">
        <v>184</v>
      </c>
      <c r="C9">
        <f>FRItoHOL!E14</f>
        <v>-961</v>
      </c>
      <c r="D9">
        <f>FRItoHOL!F14</f>
        <v>-33.5</v>
      </c>
      <c r="E9">
        <f>FRItoHOL!G14</f>
        <v>-29.1</v>
      </c>
      <c r="F9">
        <f>FRItoHOL!K14</f>
        <v>43</v>
      </c>
      <c r="G9">
        <f>FRItoHOL!L14</f>
        <v>7</v>
      </c>
      <c r="H9">
        <f>FRItoHOL!M14</f>
        <v>0</v>
      </c>
      <c r="I9">
        <f>FRItoHOL!X22</f>
        <v>0</v>
      </c>
      <c r="J9">
        <f>FRItoHOL!V14</f>
        <v>-1.6</v>
      </c>
      <c r="K9">
        <f>FRItoHOL!W14</f>
        <v>-4.2</v>
      </c>
      <c r="L9">
        <f>FRItoHOL!Q14</f>
        <v>9.8000000000000007</v>
      </c>
      <c r="N9">
        <f>FRItoHOL!R14</f>
        <v>0</v>
      </c>
      <c r="O9">
        <f>FRItoHOL!S14</f>
        <v>0</v>
      </c>
      <c r="P9">
        <f>FRItoHOL!X14</f>
        <v>-29</v>
      </c>
      <c r="S9">
        <f>FRItoHOL!Y14</f>
        <v>5</v>
      </c>
      <c r="T9">
        <f>FRItoHOL!T14</f>
        <v>0</v>
      </c>
      <c r="U9">
        <f>FRItoHOL!N14</f>
        <v>0</v>
      </c>
      <c r="V9">
        <f>FRItoHOL!O14</f>
        <v>0</v>
      </c>
      <c r="X9" s="11" t="s">
        <v>129</v>
      </c>
    </row>
    <row r="10" spans="1:27" x14ac:dyDescent="0.25">
      <c r="A10" t="s">
        <v>183</v>
      </c>
      <c r="C10">
        <f>C9*C4</f>
        <v>38.44</v>
      </c>
      <c r="D10">
        <f t="shared" ref="D10:W10" si="0">D9*D4</f>
        <v>-50.25</v>
      </c>
      <c r="E10">
        <f t="shared" si="0"/>
        <v>-107.67000000000002</v>
      </c>
      <c r="F10">
        <f t="shared" si="0"/>
        <v>5.4842622950819679</v>
      </c>
      <c r="G10">
        <f t="shared" si="0"/>
        <v>-3.5</v>
      </c>
      <c r="H10">
        <f t="shared" si="0"/>
        <v>0</v>
      </c>
      <c r="I10">
        <f t="shared" si="0"/>
        <v>0</v>
      </c>
      <c r="J10">
        <f t="shared" si="0"/>
        <v>-6.56</v>
      </c>
      <c r="K10">
        <f t="shared" si="0"/>
        <v>-14.700000000000001</v>
      </c>
      <c r="L10">
        <f t="shared" si="0"/>
        <v>22.54</v>
      </c>
      <c r="N10">
        <f t="shared" si="0"/>
        <v>0</v>
      </c>
      <c r="O10">
        <f t="shared" si="0"/>
        <v>0</v>
      </c>
      <c r="P10">
        <f t="shared" si="0"/>
        <v>23.490000000000002</v>
      </c>
      <c r="Q10" s="21">
        <f t="shared" si="0"/>
        <v>0</v>
      </c>
      <c r="R10" s="21">
        <f t="shared" si="0"/>
        <v>0</v>
      </c>
      <c r="S10">
        <f t="shared" si="0"/>
        <v>13</v>
      </c>
      <c r="T10">
        <f t="shared" si="0"/>
        <v>0</v>
      </c>
      <c r="U10">
        <f t="shared" si="0"/>
        <v>0</v>
      </c>
      <c r="V10">
        <f t="shared" si="0"/>
        <v>0</v>
      </c>
      <c r="W10" s="21">
        <f t="shared" si="0"/>
        <v>0</v>
      </c>
      <c r="X10">
        <f>ROUND(SUM(C10:W10)*X4,0)</f>
        <v>-279</v>
      </c>
    </row>
    <row r="12" spans="1:27" x14ac:dyDescent="0.25">
      <c r="A12" t="s">
        <v>185</v>
      </c>
      <c r="C12">
        <f>HOLtoFRI!E14</f>
        <v>961</v>
      </c>
      <c r="D12">
        <f>HOLtoFRI!F14</f>
        <v>33.5</v>
      </c>
      <c r="E12">
        <f>HOLtoFRI!G14</f>
        <v>29.1</v>
      </c>
      <c r="F12">
        <f>HOLtoFRI!K14</f>
        <v>-43</v>
      </c>
      <c r="G12">
        <f>HOLtoFRI!L14</f>
        <v>-7</v>
      </c>
      <c r="H12">
        <f>HOLtoFRI!M14</f>
        <v>0</v>
      </c>
      <c r="I12" s="16">
        <f>HOLtoFRI!X22</f>
        <v>0</v>
      </c>
      <c r="J12" s="16">
        <f>HOLtoFRI!V14</f>
        <v>1.7</v>
      </c>
      <c r="K12" s="16">
        <f>HOLtoFRI!W14</f>
        <v>3.4</v>
      </c>
      <c r="L12">
        <f>HOLtoFRI!Q14</f>
        <v>-9.8000000000000007</v>
      </c>
      <c r="N12">
        <f>HOLtoFRI!R14</f>
        <v>0</v>
      </c>
      <c r="O12">
        <f>HOLtoFRI!S14</f>
        <v>0</v>
      </c>
      <c r="P12">
        <f>HOLtoFRI!X14</f>
        <v>29</v>
      </c>
      <c r="S12" s="16">
        <f>HOLtoFRI!Y14</f>
        <v>-5</v>
      </c>
      <c r="T12">
        <f>HOLtoFRI!T14</f>
        <v>0</v>
      </c>
      <c r="U12">
        <f>HOLtoFRI!N14</f>
        <v>0</v>
      </c>
      <c r="V12">
        <f>HOLtoFRI!O14</f>
        <v>0</v>
      </c>
      <c r="X12" s="11" t="s">
        <v>129</v>
      </c>
    </row>
    <row r="13" spans="1:27" x14ac:dyDescent="0.25">
      <c r="A13" t="s">
        <v>182</v>
      </c>
      <c r="C13">
        <f>C5*C12</f>
        <v>-38.44</v>
      </c>
      <c r="D13">
        <f t="shared" ref="D13:W13" si="1">D5*D12</f>
        <v>50.25</v>
      </c>
      <c r="E13">
        <f t="shared" si="1"/>
        <v>107.67000000000002</v>
      </c>
      <c r="F13">
        <f t="shared" si="1"/>
        <v>-5.4842622950819679</v>
      </c>
      <c r="G13">
        <f t="shared" si="1"/>
        <v>3.5</v>
      </c>
      <c r="H13">
        <f t="shared" si="1"/>
        <v>0</v>
      </c>
      <c r="I13">
        <f t="shared" si="1"/>
        <v>0</v>
      </c>
      <c r="J13">
        <f t="shared" si="1"/>
        <v>6.63</v>
      </c>
      <c r="K13">
        <f t="shared" si="1"/>
        <v>15.299999999999999</v>
      </c>
      <c r="L13">
        <f t="shared" si="1"/>
        <v>-22.54</v>
      </c>
      <c r="N13">
        <f t="shared" si="1"/>
        <v>0</v>
      </c>
      <c r="O13">
        <f t="shared" si="1"/>
        <v>0</v>
      </c>
      <c r="P13">
        <f t="shared" si="1"/>
        <v>-23.490000000000002</v>
      </c>
      <c r="Q13" s="21">
        <f t="shared" si="1"/>
        <v>0</v>
      </c>
      <c r="R13" s="21">
        <f t="shared" si="1"/>
        <v>0</v>
      </c>
      <c r="S13">
        <f t="shared" si="1"/>
        <v>-13</v>
      </c>
      <c r="T13">
        <f t="shared" si="1"/>
        <v>0</v>
      </c>
      <c r="U13">
        <f t="shared" si="1"/>
        <v>0</v>
      </c>
      <c r="V13">
        <f t="shared" si="1"/>
        <v>0</v>
      </c>
      <c r="W13" s="21">
        <f t="shared" si="1"/>
        <v>0</v>
      </c>
      <c r="X13">
        <f>ROUND(SUM(C13:W13)*X5,0)</f>
        <v>314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D1AB6-7803-4BFA-8D5C-3BA1CC4B4637}">
  <sheetPr>
    <pageSetUpPr autoPageBreaks="0"/>
  </sheetPr>
  <dimension ref="A1:H25"/>
  <sheetViews>
    <sheetView workbookViewId="0">
      <selection activeCell="C2" sqref="C2"/>
    </sheetView>
  </sheetViews>
  <sheetFormatPr defaultRowHeight="15" x14ac:dyDescent="0.25"/>
  <cols>
    <col min="3" max="3" width="25.5703125" bestFit="1" customWidth="1"/>
    <col min="6" max="6" width="27.140625" bestFit="1" customWidth="1"/>
    <col min="7" max="7" width="27" bestFit="1" customWidth="1"/>
    <col min="8" max="8" width="10.7109375" bestFit="1" customWidth="1"/>
  </cols>
  <sheetData>
    <row r="1" spans="1:8" x14ac:dyDescent="0.25">
      <c r="A1" s="11" t="s">
        <v>130</v>
      </c>
      <c r="B1" t="s">
        <v>47</v>
      </c>
      <c r="C1" t="s">
        <v>48</v>
      </c>
      <c r="D1" t="s">
        <v>49</v>
      </c>
      <c r="E1" t="s">
        <v>50</v>
      </c>
      <c r="F1" t="s">
        <v>51</v>
      </c>
      <c r="G1" t="s">
        <v>52</v>
      </c>
      <c r="H1" t="s">
        <v>53</v>
      </c>
    </row>
    <row r="2" spans="1:8" x14ac:dyDescent="0.25">
      <c r="A2" t="s">
        <v>54</v>
      </c>
      <c r="B2">
        <v>0.47699999999999998</v>
      </c>
      <c r="C2" t="s">
        <v>55</v>
      </c>
      <c r="D2" t="s">
        <v>56</v>
      </c>
      <c r="E2">
        <v>1</v>
      </c>
      <c r="F2">
        <v>6.99</v>
      </c>
      <c r="G2">
        <v>1.34</v>
      </c>
      <c r="H2" s="12">
        <v>45362.929352974534</v>
      </c>
    </row>
    <row r="3" spans="1:8" x14ac:dyDescent="0.25">
      <c r="A3" t="s">
        <v>57</v>
      </c>
      <c r="B3">
        <v>0.253</v>
      </c>
      <c r="C3" t="s">
        <v>58</v>
      </c>
      <c r="D3" t="s">
        <v>59</v>
      </c>
      <c r="E3">
        <v>2</v>
      </c>
      <c r="F3">
        <v>-1.79</v>
      </c>
      <c r="G3">
        <v>1.08</v>
      </c>
      <c r="H3" s="12">
        <v>45362.929352974534</v>
      </c>
    </row>
    <row r="4" spans="1:8" x14ac:dyDescent="0.25">
      <c r="A4" t="s">
        <v>60</v>
      </c>
      <c r="B4">
        <v>0.433</v>
      </c>
      <c r="C4" t="s">
        <v>61</v>
      </c>
      <c r="D4" t="s">
        <v>62</v>
      </c>
      <c r="E4">
        <v>3</v>
      </c>
      <c r="F4">
        <v>2.2400000000000002</v>
      </c>
      <c r="G4">
        <v>0.93</v>
      </c>
      <c r="H4" s="12">
        <v>45362.929352974534</v>
      </c>
    </row>
    <row r="5" spans="1:8" x14ac:dyDescent="0.25">
      <c r="A5" t="s">
        <v>63</v>
      </c>
      <c r="B5">
        <v>0.33</v>
      </c>
      <c r="C5" t="s">
        <v>64</v>
      </c>
      <c r="D5" t="s">
        <v>65</v>
      </c>
      <c r="E5">
        <v>4</v>
      </c>
      <c r="F5">
        <v>4.51</v>
      </c>
      <c r="G5">
        <v>0.84</v>
      </c>
      <c r="H5" s="12">
        <v>45362.929352974534</v>
      </c>
    </row>
    <row r="6" spans="1:8" x14ac:dyDescent="0.25">
      <c r="A6" t="s">
        <v>66</v>
      </c>
      <c r="B6">
        <v>0.30599999999999999</v>
      </c>
      <c r="C6" t="s">
        <v>67</v>
      </c>
      <c r="D6" t="s">
        <v>68</v>
      </c>
      <c r="E6">
        <v>5</v>
      </c>
      <c r="F6">
        <v>0.61</v>
      </c>
      <c r="G6">
        <v>1.1200000000000001</v>
      </c>
      <c r="H6" s="12">
        <v>45362.929352974534</v>
      </c>
    </row>
    <row r="7" spans="1:8" x14ac:dyDescent="0.25">
      <c r="A7" t="s">
        <v>69</v>
      </c>
      <c r="B7">
        <v>0.29899999999999999</v>
      </c>
      <c r="C7" t="s">
        <v>70</v>
      </c>
      <c r="D7" t="s">
        <v>71</v>
      </c>
      <c r="E7">
        <v>6</v>
      </c>
      <c r="F7">
        <v>1.1200000000000001</v>
      </c>
      <c r="G7">
        <v>0.97</v>
      </c>
      <c r="H7" s="12">
        <v>45362.929352974534</v>
      </c>
    </row>
    <row r="8" spans="1:8" x14ac:dyDescent="0.25">
      <c r="A8" t="s">
        <v>72</v>
      </c>
      <c r="B8">
        <v>0.19900000000000001</v>
      </c>
      <c r="C8" t="s">
        <v>73</v>
      </c>
      <c r="D8" t="s">
        <v>74</v>
      </c>
      <c r="E8">
        <v>7</v>
      </c>
      <c r="F8">
        <v>0.56999999999999995</v>
      </c>
      <c r="G8">
        <v>0.96</v>
      </c>
      <c r="H8" s="12">
        <v>45362.929352974534</v>
      </c>
    </row>
    <row r="9" spans="1:8" x14ac:dyDescent="0.25">
      <c r="A9" t="s">
        <v>75</v>
      </c>
      <c r="B9">
        <v>0.105</v>
      </c>
      <c r="C9" t="s">
        <v>76</v>
      </c>
      <c r="D9" t="s">
        <v>77</v>
      </c>
      <c r="E9">
        <v>8</v>
      </c>
      <c r="F9" t="s">
        <v>77</v>
      </c>
      <c r="G9" t="s">
        <v>77</v>
      </c>
      <c r="H9" s="12" t="s">
        <v>77</v>
      </c>
    </row>
    <row r="10" spans="1:8" x14ac:dyDescent="0.25">
      <c r="A10" t="s">
        <v>78</v>
      </c>
      <c r="B10">
        <v>0.14099999999999999</v>
      </c>
      <c r="C10" t="s">
        <v>79</v>
      </c>
      <c r="D10" t="s">
        <v>80</v>
      </c>
      <c r="E10">
        <v>9</v>
      </c>
      <c r="F10">
        <v>-0.21</v>
      </c>
      <c r="G10">
        <v>0.96</v>
      </c>
      <c r="H10" s="12">
        <v>45362.929352974534</v>
      </c>
    </row>
    <row r="11" spans="1:8" x14ac:dyDescent="0.25">
      <c r="A11" t="s">
        <v>81</v>
      </c>
      <c r="B11">
        <v>0.21099999999999999</v>
      </c>
      <c r="C11" t="s">
        <v>82</v>
      </c>
      <c r="D11" t="s">
        <v>83</v>
      </c>
      <c r="E11">
        <v>10</v>
      </c>
      <c r="F11">
        <v>2.2400000000000002</v>
      </c>
      <c r="G11">
        <v>0.86</v>
      </c>
      <c r="H11" s="12">
        <v>45362.929352974534</v>
      </c>
    </row>
    <row r="12" spans="1:8" x14ac:dyDescent="0.25">
      <c r="A12" t="s">
        <v>84</v>
      </c>
      <c r="B12">
        <v>0.26800000000000002</v>
      </c>
      <c r="C12" t="s">
        <v>85</v>
      </c>
      <c r="D12" t="s">
        <v>86</v>
      </c>
      <c r="E12">
        <v>11</v>
      </c>
      <c r="F12">
        <v>4.2</v>
      </c>
      <c r="G12">
        <v>0.94</v>
      </c>
      <c r="H12" s="12">
        <v>45362.929352974534</v>
      </c>
    </row>
    <row r="13" spans="1:8" x14ac:dyDescent="0.25">
      <c r="A13" t="s">
        <v>87</v>
      </c>
      <c r="B13">
        <v>0.23100000000000001</v>
      </c>
      <c r="C13" t="s">
        <v>88</v>
      </c>
      <c r="D13" t="s">
        <v>89</v>
      </c>
      <c r="E13">
        <v>12</v>
      </c>
      <c r="F13">
        <v>3.02</v>
      </c>
      <c r="G13">
        <v>0.95</v>
      </c>
      <c r="H13" s="12">
        <v>45362.929352974534</v>
      </c>
    </row>
    <row r="14" spans="1:8" x14ac:dyDescent="0.25">
      <c r="A14" t="s">
        <v>90</v>
      </c>
      <c r="B14">
        <v>0.33700000000000002</v>
      </c>
      <c r="C14" t="s">
        <v>91</v>
      </c>
      <c r="D14" t="s">
        <v>92</v>
      </c>
      <c r="E14">
        <v>13</v>
      </c>
      <c r="F14">
        <v>2.58</v>
      </c>
      <c r="G14">
        <v>1.04</v>
      </c>
      <c r="H14" s="12">
        <v>45362.929352974534</v>
      </c>
    </row>
    <row r="15" spans="1:8" x14ac:dyDescent="0.25">
      <c r="A15" t="s">
        <v>93</v>
      </c>
      <c r="B15">
        <v>0.28000000000000003</v>
      </c>
      <c r="C15" t="s">
        <v>94</v>
      </c>
      <c r="D15" t="s">
        <v>95</v>
      </c>
      <c r="E15">
        <v>14</v>
      </c>
      <c r="F15">
        <v>1.57</v>
      </c>
      <c r="G15">
        <v>0.87</v>
      </c>
      <c r="H15" s="12">
        <v>45362.929352974534</v>
      </c>
    </row>
    <row r="16" spans="1:8" x14ac:dyDescent="0.25">
      <c r="A16" t="s">
        <v>96</v>
      </c>
      <c r="B16">
        <v>0.33100000000000002</v>
      </c>
      <c r="C16" t="s">
        <v>97</v>
      </c>
      <c r="D16" t="s">
        <v>98</v>
      </c>
      <c r="E16">
        <v>15</v>
      </c>
      <c r="F16">
        <v>0.3</v>
      </c>
      <c r="G16">
        <v>0.91</v>
      </c>
      <c r="H16" s="12">
        <v>45362.929352974534</v>
      </c>
    </row>
    <row r="17" spans="1:8" x14ac:dyDescent="0.25">
      <c r="A17" t="s">
        <v>99</v>
      </c>
      <c r="B17">
        <v>0.22500000000000001</v>
      </c>
      <c r="C17" t="s">
        <v>100</v>
      </c>
      <c r="D17" t="s">
        <v>101</v>
      </c>
      <c r="E17">
        <v>16</v>
      </c>
      <c r="F17">
        <v>1.89</v>
      </c>
      <c r="G17">
        <v>0.86</v>
      </c>
      <c r="H17" s="12">
        <v>45362.929352974534</v>
      </c>
    </row>
    <row r="18" spans="1:8" x14ac:dyDescent="0.25">
      <c r="A18" t="s">
        <v>102</v>
      </c>
      <c r="B18">
        <v>0.31</v>
      </c>
      <c r="C18" t="s">
        <v>103</v>
      </c>
      <c r="D18" t="s">
        <v>104</v>
      </c>
      <c r="E18">
        <v>17</v>
      </c>
      <c r="F18">
        <v>3.44</v>
      </c>
      <c r="G18">
        <v>1.23</v>
      </c>
      <c r="H18" s="12">
        <v>44642.667967789355</v>
      </c>
    </row>
    <row r="19" spans="1:8" x14ac:dyDescent="0.25">
      <c r="A19" t="s">
        <v>105</v>
      </c>
      <c r="B19">
        <v>0.25900000000000001</v>
      </c>
      <c r="C19" t="s">
        <v>106</v>
      </c>
      <c r="D19" t="s">
        <v>107</v>
      </c>
      <c r="E19">
        <v>18</v>
      </c>
      <c r="F19">
        <v>3.35</v>
      </c>
      <c r="G19">
        <v>0.79</v>
      </c>
      <c r="H19" s="12">
        <v>44642.667967789355</v>
      </c>
    </row>
    <row r="20" spans="1:8" x14ac:dyDescent="0.25">
      <c r="A20" t="s">
        <v>108</v>
      </c>
      <c r="B20">
        <v>0.153</v>
      </c>
      <c r="C20" t="s">
        <v>109</v>
      </c>
      <c r="D20" t="s">
        <v>110</v>
      </c>
      <c r="E20">
        <v>19</v>
      </c>
      <c r="F20">
        <v>1.71</v>
      </c>
      <c r="G20">
        <v>1.06</v>
      </c>
      <c r="H20" s="12">
        <v>44642.667967789355</v>
      </c>
    </row>
    <row r="21" spans="1:8" x14ac:dyDescent="0.25">
      <c r="A21" t="s">
        <v>111</v>
      </c>
      <c r="B21">
        <v>0.105</v>
      </c>
      <c r="C21" t="s">
        <v>112</v>
      </c>
      <c r="D21" t="s">
        <v>113</v>
      </c>
      <c r="E21">
        <v>20</v>
      </c>
      <c r="F21">
        <v>1.07</v>
      </c>
      <c r="G21">
        <v>1.0900000000000001</v>
      </c>
      <c r="H21" s="12">
        <v>45362.929352974534</v>
      </c>
    </row>
    <row r="22" spans="1:8" x14ac:dyDescent="0.25">
      <c r="A22" t="s">
        <v>114</v>
      </c>
      <c r="B22">
        <v>0.26800000000000002</v>
      </c>
      <c r="C22" t="s">
        <v>115</v>
      </c>
      <c r="D22" t="s">
        <v>116</v>
      </c>
      <c r="E22">
        <v>21</v>
      </c>
      <c r="F22">
        <v>-4.57</v>
      </c>
      <c r="G22">
        <v>0.97</v>
      </c>
      <c r="H22" s="12">
        <v>45362.929352974534</v>
      </c>
    </row>
    <row r="23" spans="1:8" x14ac:dyDescent="0.25">
      <c r="A23" t="s">
        <v>117</v>
      </c>
      <c r="B23">
        <v>0.109</v>
      </c>
      <c r="C23" t="s">
        <v>118</v>
      </c>
      <c r="D23" t="s">
        <v>119</v>
      </c>
      <c r="E23">
        <v>22</v>
      </c>
      <c r="F23">
        <v>1.45</v>
      </c>
      <c r="G23">
        <v>0.87</v>
      </c>
      <c r="H23" s="12">
        <v>45362.929352974534</v>
      </c>
    </row>
    <row r="24" spans="1:8" x14ac:dyDescent="0.25">
      <c r="A24" t="s">
        <v>120</v>
      </c>
      <c r="B24">
        <v>0.104</v>
      </c>
      <c r="C24" t="s">
        <v>121</v>
      </c>
      <c r="D24" t="s">
        <v>122</v>
      </c>
      <c r="E24">
        <v>23</v>
      </c>
      <c r="F24">
        <v>1.36</v>
      </c>
      <c r="G24">
        <v>0.81</v>
      </c>
      <c r="H24" s="12">
        <v>45362.929352974534</v>
      </c>
    </row>
    <row r="25" spans="1:8" x14ac:dyDescent="0.25">
      <c r="A25" t="s">
        <v>123</v>
      </c>
      <c r="B25">
        <v>0.28000000000000003</v>
      </c>
      <c r="C25" t="s">
        <v>124</v>
      </c>
      <c r="D25" t="s">
        <v>125</v>
      </c>
      <c r="E25">
        <v>24</v>
      </c>
      <c r="F25">
        <v>0.82</v>
      </c>
      <c r="G25">
        <v>0.83</v>
      </c>
      <c r="H25" s="12">
        <v>45362.929352974534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571B5-C399-4B88-BA3D-15CBC586EC3A}">
  <sheetPr>
    <pageSetUpPr autoPageBreaks="0"/>
  </sheetPr>
  <dimension ref="A1:S25"/>
  <sheetViews>
    <sheetView workbookViewId="0">
      <selection activeCell="C2" sqref="C2"/>
    </sheetView>
  </sheetViews>
  <sheetFormatPr defaultRowHeight="15" x14ac:dyDescent="0.25"/>
  <sheetData>
    <row r="1" spans="1:7" x14ac:dyDescent="0.25">
      <c r="B1" t="s">
        <v>176</v>
      </c>
      <c r="C1" t="s">
        <v>177</v>
      </c>
      <c r="D1" s="11" t="s">
        <v>184</v>
      </c>
      <c r="E1" s="11" t="s">
        <v>182</v>
      </c>
      <c r="F1" s="11" t="s">
        <v>185</v>
      </c>
      <c r="G1" s="11" t="s">
        <v>183</v>
      </c>
    </row>
    <row r="2" spans="1:7" x14ac:dyDescent="0.25">
      <c r="A2" t="s">
        <v>54</v>
      </c>
      <c r="B2">
        <f>VLOOKUP($A2,Type!$A:$G,6,FALSE)</f>
        <v>6.99</v>
      </c>
      <c r="C2">
        <f>VLOOKUP($A2,Type!$A:$G,7,FALSE)</f>
        <v>1.34</v>
      </c>
      <c r="D2">
        <f>HOLtoFRI!E20</f>
        <v>0</v>
      </c>
      <c r="E2" s="16">
        <f>D2*C2+B2</f>
        <v>6.99</v>
      </c>
      <c r="F2">
        <f>FRItoHOL!E20</f>
        <v>0</v>
      </c>
      <c r="G2" s="16">
        <f>(F2-B2)/C2</f>
        <v>-5.2164179104477615</v>
      </c>
    </row>
    <row r="3" spans="1:7" x14ac:dyDescent="0.25">
      <c r="A3" t="s">
        <v>57</v>
      </c>
      <c r="B3">
        <f>VLOOKUP($A3,Type!$A:$G,6,FALSE)</f>
        <v>-1.79</v>
      </c>
      <c r="C3">
        <f>VLOOKUP($A3,Type!$A:$G,7,FALSE)</f>
        <v>1.08</v>
      </c>
      <c r="D3">
        <f>HOLtoFRI!F20</f>
        <v>0</v>
      </c>
      <c r="E3" s="16">
        <f t="shared" ref="E3:E25" si="0">D3*C3+B3</f>
        <v>-1.79</v>
      </c>
      <c r="F3">
        <f>FRItoHOL!F20</f>
        <v>0</v>
      </c>
      <c r="G3" s="16">
        <f t="shared" ref="G3:G25" si="1">(F3-B3)/C3</f>
        <v>1.6574074074074074</v>
      </c>
    </row>
    <row r="4" spans="1:7" x14ac:dyDescent="0.25">
      <c r="A4" t="s">
        <v>60</v>
      </c>
      <c r="B4">
        <f>VLOOKUP($A4,Type!$A:$G,6,FALSE)</f>
        <v>2.2400000000000002</v>
      </c>
      <c r="C4">
        <f>VLOOKUP($A4,Type!$A:$G,7,FALSE)</f>
        <v>0.93</v>
      </c>
      <c r="D4">
        <f>HOLtoFRI!G20</f>
        <v>0</v>
      </c>
      <c r="E4" s="16">
        <f t="shared" si="0"/>
        <v>2.2400000000000002</v>
      </c>
      <c r="F4">
        <f>FRItoHOL!G20</f>
        <v>0</v>
      </c>
      <c r="G4" s="16">
        <f t="shared" si="1"/>
        <v>-2.4086021505376345</v>
      </c>
    </row>
    <row r="5" spans="1:7" x14ac:dyDescent="0.25">
      <c r="A5" t="s">
        <v>63</v>
      </c>
      <c r="B5">
        <f>VLOOKUP($A5,Type!$A:$G,6,FALSE)</f>
        <v>4.51</v>
      </c>
      <c r="C5">
        <f>VLOOKUP($A5,Type!$A:$G,7,FALSE)</f>
        <v>0.84</v>
      </c>
      <c r="D5">
        <f>HOLtoFRI!H20</f>
        <v>0</v>
      </c>
      <c r="E5" s="16">
        <f t="shared" si="0"/>
        <v>4.51</v>
      </c>
      <c r="F5">
        <f>FRItoHOL!H20</f>
        <v>0</v>
      </c>
      <c r="G5" s="16">
        <f t="shared" si="1"/>
        <v>-5.3690476190476186</v>
      </c>
    </row>
    <row r="6" spans="1:7" x14ac:dyDescent="0.25">
      <c r="A6" t="s">
        <v>66</v>
      </c>
      <c r="B6">
        <f>VLOOKUP($A6,Type!$A:$G,6,FALSE)</f>
        <v>0.61</v>
      </c>
      <c r="C6">
        <f>VLOOKUP($A6,Type!$A:$G,7,FALSE)</f>
        <v>1.1200000000000001</v>
      </c>
      <c r="D6">
        <f>HOLtoFRI!I20</f>
        <v>0</v>
      </c>
      <c r="E6" s="16">
        <f t="shared" si="0"/>
        <v>0.61</v>
      </c>
      <c r="F6">
        <f>FRItoHOL!I20</f>
        <v>0</v>
      </c>
      <c r="G6" s="16">
        <f t="shared" si="1"/>
        <v>-0.5446428571428571</v>
      </c>
    </row>
    <row r="7" spans="1:7" x14ac:dyDescent="0.25">
      <c r="A7" t="s">
        <v>69</v>
      </c>
      <c r="B7">
        <f>VLOOKUP($A7,Type!$A:$G,6,FALSE)</f>
        <v>1.1200000000000001</v>
      </c>
      <c r="C7">
        <f>VLOOKUP($A7,Type!$A:$G,7,FALSE)</f>
        <v>0.97</v>
      </c>
      <c r="D7">
        <f>HOLtoFRI!J20</f>
        <v>0</v>
      </c>
      <c r="E7" s="16">
        <f t="shared" si="0"/>
        <v>1.1200000000000001</v>
      </c>
      <c r="F7">
        <f>FRItoHOL!J20</f>
        <v>0</v>
      </c>
      <c r="G7" s="16">
        <f t="shared" si="1"/>
        <v>-1.1546391752577321</v>
      </c>
    </row>
    <row r="8" spans="1:7" x14ac:dyDescent="0.25">
      <c r="A8" t="s">
        <v>72</v>
      </c>
      <c r="B8">
        <f>VLOOKUP($A8,Type!$A:$G,6,FALSE)</f>
        <v>0.56999999999999995</v>
      </c>
      <c r="C8">
        <f>VLOOKUP($A8,Type!$A:$G,7,FALSE)</f>
        <v>0.96</v>
      </c>
      <c r="D8">
        <f>HOLtoFRI!L20</f>
        <v>0</v>
      </c>
      <c r="E8" s="16">
        <f t="shared" si="0"/>
        <v>0.56999999999999995</v>
      </c>
      <c r="F8">
        <f>FRItoHOL!L20</f>
        <v>0</v>
      </c>
      <c r="G8" s="16">
        <f t="shared" si="1"/>
        <v>-0.59375</v>
      </c>
    </row>
    <row r="9" spans="1:7" x14ac:dyDescent="0.25">
      <c r="A9" t="s">
        <v>75</v>
      </c>
      <c r="B9" t="str">
        <f>VLOOKUP($A9,Type!$A:$G,6,FALSE)</f>
        <v>NULL</v>
      </c>
      <c r="C9" t="str">
        <f>VLOOKUP($A9,Type!$A:$G,7,FALSE)</f>
        <v>NULL</v>
      </c>
      <c r="E9" s="16" t="e">
        <f t="shared" si="0"/>
        <v>#VALUE!</v>
      </c>
      <c r="G9" s="16" t="e">
        <f t="shared" si="1"/>
        <v>#VALUE!</v>
      </c>
    </row>
    <row r="10" spans="1:7" x14ac:dyDescent="0.25">
      <c r="A10" t="s">
        <v>78</v>
      </c>
      <c r="B10">
        <f>VLOOKUP($A10,Type!$A:$G,6,FALSE)</f>
        <v>-0.21</v>
      </c>
      <c r="C10">
        <f>VLOOKUP($A10,Type!$A:$G,7,FALSE)</f>
        <v>0.96</v>
      </c>
      <c r="D10">
        <f>HOLtoFRI!M20</f>
        <v>0</v>
      </c>
      <c r="E10" s="16">
        <f t="shared" si="0"/>
        <v>-0.21</v>
      </c>
      <c r="F10">
        <f>FRItoHOL!M20</f>
        <v>0</v>
      </c>
      <c r="G10" s="16">
        <f t="shared" si="1"/>
        <v>0.21875</v>
      </c>
    </row>
    <row r="11" spans="1:7" x14ac:dyDescent="0.25">
      <c r="A11" t="s">
        <v>81</v>
      </c>
      <c r="B11">
        <f>VLOOKUP($A11,Type!$A:$G,6,FALSE)</f>
        <v>2.2400000000000002</v>
      </c>
      <c r="C11">
        <f>VLOOKUP($A11,Type!$A:$G,7,FALSE)</f>
        <v>0.86</v>
      </c>
      <c r="D11">
        <f>HOLtoFRI!O20</f>
        <v>0</v>
      </c>
      <c r="E11" s="16">
        <f t="shared" si="0"/>
        <v>2.2400000000000002</v>
      </c>
      <c r="F11">
        <f>FRItoHOL!O20</f>
        <v>0</v>
      </c>
      <c r="G11" s="16">
        <f t="shared" si="1"/>
        <v>-2.6046511627906979</v>
      </c>
    </row>
    <row r="12" spans="1:7" x14ac:dyDescent="0.25">
      <c r="A12" t="s">
        <v>84</v>
      </c>
      <c r="B12">
        <f>VLOOKUP($A12,Type!$A:$G,6,FALSE)</f>
        <v>4.2</v>
      </c>
      <c r="C12">
        <f>VLOOKUP($A12,Type!$A:$G,7,FALSE)</f>
        <v>0.94</v>
      </c>
      <c r="D12">
        <f>HOLtoFRI!P20</f>
        <v>0</v>
      </c>
      <c r="E12" s="16">
        <f t="shared" si="0"/>
        <v>4.2</v>
      </c>
      <c r="F12">
        <f>FRItoHOL!P20</f>
        <v>0</v>
      </c>
      <c r="G12" s="16">
        <f t="shared" si="1"/>
        <v>-4.4680851063829792</v>
      </c>
    </row>
    <row r="13" spans="1:7" x14ac:dyDescent="0.25">
      <c r="A13" t="s">
        <v>87</v>
      </c>
      <c r="B13">
        <f>VLOOKUP($A13,Type!$A:$G,6,FALSE)</f>
        <v>3.02</v>
      </c>
      <c r="C13">
        <f>VLOOKUP($A13,Type!$A:$G,7,FALSE)</f>
        <v>0.95</v>
      </c>
      <c r="D13">
        <f>HOLtoFRI!Q20</f>
        <v>0</v>
      </c>
      <c r="E13" s="16">
        <f t="shared" si="0"/>
        <v>3.02</v>
      </c>
      <c r="F13">
        <f>FRItoHOL!Q20</f>
        <v>0</v>
      </c>
      <c r="G13" s="16">
        <f t="shared" si="1"/>
        <v>-3.1789473684210527</v>
      </c>
    </row>
    <row r="14" spans="1:7" x14ac:dyDescent="0.25">
      <c r="A14" t="s">
        <v>90</v>
      </c>
      <c r="B14">
        <f>VLOOKUP($A14,Type!$A:$G,6,FALSE)</f>
        <v>2.58</v>
      </c>
      <c r="C14">
        <f>VLOOKUP($A14,Type!$A:$G,7,FALSE)</f>
        <v>1.04</v>
      </c>
      <c r="D14">
        <f>HOLtoFRI!R20</f>
        <v>0</v>
      </c>
      <c r="E14" s="16">
        <f t="shared" si="0"/>
        <v>2.58</v>
      </c>
      <c r="F14">
        <f>FRItoHOL!R20</f>
        <v>0</v>
      </c>
      <c r="G14" s="16">
        <f t="shared" si="1"/>
        <v>-2.4807692307692308</v>
      </c>
    </row>
    <row r="15" spans="1:7" x14ac:dyDescent="0.25">
      <c r="A15" t="s">
        <v>93</v>
      </c>
      <c r="B15">
        <f>VLOOKUP($A15,Type!$A:$G,6,FALSE)</f>
        <v>1.57</v>
      </c>
      <c r="C15">
        <f>VLOOKUP($A15,Type!$A:$G,7,FALSE)</f>
        <v>0.87</v>
      </c>
      <c r="D15">
        <f>HOLtoFRI!S20</f>
        <v>0</v>
      </c>
      <c r="E15" s="16">
        <f t="shared" si="0"/>
        <v>1.57</v>
      </c>
      <c r="F15">
        <f>FRItoHOL!S20</f>
        <v>0</v>
      </c>
      <c r="G15" s="16">
        <f t="shared" si="1"/>
        <v>-1.8045977011494254</v>
      </c>
    </row>
    <row r="16" spans="1:7" x14ac:dyDescent="0.25">
      <c r="A16" t="s">
        <v>96</v>
      </c>
      <c r="B16">
        <f>VLOOKUP($A16,Type!$A:$G,6,FALSE)</f>
        <v>0.3</v>
      </c>
      <c r="C16">
        <f>VLOOKUP($A16,Type!$A:$G,7,FALSE)</f>
        <v>0.91</v>
      </c>
      <c r="D16">
        <f>HOLtoFRI!U20</f>
        <v>0</v>
      </c>
      <c r="E16" s="16">
        <f t="shared" si="0"/>
        <v>0.3</v>
      </c>
      <c r="F16">
        <f>FRItoHOL!U20</f>
        <v>0</v>
      </c>
      <c r="G16" s="16">
        <f t="shared" si="1"/>
        <v>-0.32967032967032966</v>
      </c>
    </row>
    <row r="17" spans="1:19" x14ac:dyDescent="0.25">
      <c r="A17" t="s">
        <v>99</v>
      </c>
      <c r="B17">
        <f>VLOOKUP($A17,Type!$A:$G,6,FALSE)</f>
        <v>1.89</v>
      </c>
      <c r="C17">
        <f>VLOOKUP($A17,Type!$A:$G,7,FALSE)</f>
        <v>0.86</v>
      </c>
      <c r="D17">
        <f>HOLtoFRI!T20</f>
        <v>0</v>
      </c>
      <c r="E17" s="16">
        <f t="shared" si="0"/>
        <v>1.89</v>
      </c>
      <c r="F17">
        <f>FRItoHOL!T20</f>
        <v>0</v>
      </c>
      <c r="G17" s="16">
        <f t="shared" si="1"/>
        <v>-2.1976744186046511</v>
      </c>
    </row>
    <row r="18" spans="1:19" x14ac:dyDescent="0.25">
      <c r="A18" s="32" t="s">
        <v>102</v>
      </c>
      <c r="B18" s="32">
        <f>VLOOKUP($A18,Type!$A:$G,6,FALSE)</f>
        <v>3.44</v>
      </c>
      <c r="C18" s="32">
        <f>VLOOKUP($A18,Type!$A:$G,7,FALSE)</f>
        <v>1.23</v>
      </c>
      <c r="D18" s="32">
        <f>TMWeightings!L15</f>
        <v>0</v>
      </c>
      <c r="E18" s="33">
        <f>D18*C18+B18</f>
        <v>3.44</v>
      </c>
      <c r="F18" s="32"/>
      <c r="G18" s="33">
        <f t="shared" si="1"/>
        <v>-2.7967479674796749</v>
      </c>
      <c r="H18" s="32" t="s">
        <v>297</v>
      </c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</row>
    <row r="19" spans="1:19" x14ac:dyDescent="0.25">
      <c r="A19" t="s">
        <v>105</v>
      </c>
      <c r="B19">
        <f>VLOOKUP($A19,Type!$A:$G,6,FALSE)</f>
        <v>3.35</v>
      </c>
      <c r="C19">
        <f>VLOOKUP($A19,Type!$A:$G,7,FALSE)</f>
        <v>0.79</v>
      </c>
      <c r="D19">
        <f>HOLtoFRI!W12</f>
        <v>0</v>
      </c>
      <c r="E19" s="16">
        <f t="shared" si="0"/>
        <v>3.35</v>
      </c>
      <c r="F19">
        <f>FRItoHOL!W12</f>
        <v>0</v>
      </c>
      <c r="G19" s="16">
        <f t="shared" si="1"/>
        <v>-4.2405063291139236</v>
      </c>
    </row>
    <row r="20" spans="1:19" x14ac:dyDescent="0.25">
      <c r="A20" t="s">
        <v>108</v>
      </c>
      <c r="B20">
        <f>VLOOKUP($A20,Type!$A:$G,6,FALSE)</f>
        <v>1.71</v>
      </c>
      <c r="C20">
        <f>VLOOKUP($A20,Type!$A:$G,7,FALSE)</f>
        <v>1.06</v>
      </c>
      <c r="D20">
        <f>HOLtoFRI!V12</f>
        <v>0</v>
      </c>
      <c r="E20" s="16">
        <f t="shared" si="0"/>
        <v>1.71</v>
      </c>
      <c r="F20">
        <f>FRItoHOL!V12</f>
        <v>0</v>
      </c>
      <c r="G20" s="16">
        <f t="shared" si="1"/>
        <v>-1.6132075471698113</v>
      </c>
    </row>
    <row r="21" spans="1:19" x14ac:dyDescent="0.25">
      <c r="A21" t="s">
        <v>111</v>
      </c>
      <c r="B21">
        <f>VLOOKUP($A21,Type!$A:$G,6,FALSE)</f>
        <v>1.07</v>
      </c>
      <c r="C21">
        <f>VLOOKUP($A21,Type!$A:$G,7,FALSE)</f>
        <v>1.0900000000000001</v>
      </c>
      <c r="D21">
        <f>HOLtoFRI!X20</f>
        <v>0</v>
      </c>
      <c r="E21" s="16">
        <f t="shared" si="0"/>
        <v>1.07</v>
      </c>
      <c r="F21">
        <f>FRItoHOL!X20</f>
        <v>0</v>
      </c>
      <c r="G21" s="16">
        <f t="shared" si="1"/>
        <v>-0.98165137614678899</v>
      </c>
    </row>
    <row r="22" spans="1:19" x14ac:dyDescent="0.25">
      <c r="A22" t="s">
        <v>114</v>
      </c>
      <c r="B22">
        <f>VLOOKUP($A22,Type!$A:$G,6,FALSE)</f>
        <v>-4.57</v>
      </c>
      <c r="C22">
        <f>VLOOKUP($A22,Type!$A:$G,7,FALSE)</f>
        <v>0.97</v>
      </c>
      <c r="D22">
        <f>HOLtoFRI!Y12</f>
        <v>0</v>
      </c>
      <c r="E22" s="16">
        <f t="shared" si="0"/>
        <v>-4.57</v>
      </c>
      <c r="F22">
        <f>FRItoHOL!Y12</f>
        <v>0</v>
      </c>
      <c r="G22" s="16">
        <f t="shared" si="1"/>
        <v>4.7113402061855671</v>
      </c>
    </row>
    <row r="23" spans="1:19" x14ac:dyDescent="0.25">
      <c r="A23" t="s">
        <v>117</v>
      </c>
      <c r="B23">
        <f>VLOOKUP($A23,Type!$A:$G,6,FALSE)</f>
        <v>1.45</v>
      </c>
      <c r="C23">
        <f>VLOOKUP($A23,Type!$A:$G,7,FALSE)</f>
        <v>0.87</v>
      </c>
      <c r="D23">
        <f>HOLtoFRI!Y20</f>
        <v>0</v>
      </c>
      <c r="E23" s="16">
        <f t="shared" si="0"/>
        <v>1.45</v>
      </c>
      <c r="F23">
        <f>FRItoHOL!Y20</f>
        <v>0</v>
      </c>
      <c r="G23" s="16">
        <f t="shared" si="1"/>
        <v>-1.6666666666666665</v>
      </c>
    </row>
    <row r="24" spans="1:19" x14ac:dyDescent="0.25">
      <c r="A24" t="s">
        <v>120</v>
      </c>
      <c r="B24">
        <f>VLOOKUP($A24,Type!$A:$G,6,FALSE)</f>
        <v>1.36</v>
      </c>
      <c r="C24">
        <f>VLOOKUP($A24,Type!$A:$G,7,FALSE)</f>
        <v>0.81</v>
      </c>
      <c r="D24">
        <f>HOLtoFRI!Z20</f>
        <v>0</v>
      </c>
      <c r="E24" s="16">
        <f t="shared" si="0"/>
        <v>1.36</v>
      </c>
      <c r="F24">
        <f>FRItoHOL!Z20</f>
        <v>0</v>
      </c>
      <c r="G24" s="16">
        <f t="shared" si="1"/>
        <v>-1.6790123456790123</v>
      </c>
    </row>
    <row r="25" spans="1:19" x14ac:dyDescent="0.25">
      <c r="A25" t="s">
        <v>123</v>
      </c>
      <c r="B25">
        <f>VLOOKUP($A25,Type!$A:$G,6,FALSE)</f>
        <v>0.82</v>
      </c>
      <c r="C25">
        <f>VLOOKUP($A25,Type!$A:$G,7,FALSE)</f>
        <v>0.83</v>
      </c>
      <c r="D25">
        <f>HOLtoFRI!V20</f>
        <v>0</v>
      </c>
      <c r="E25" s="16">
        <f t="shared" si="0"/>
        <v>0.82</v>
      </c>
      <c r="F25">
        <f>FRItoHOL!V20</f>
        <v>0</v>
      </c>
      <c r="G25" s="16">
        <f t="shared" si="1"/>
        <v>-0.98795180722891562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8D15E-8F3E-493D-9721-88F99868E01D}">
  <sheetPr>
    <pageSetUpPr autoPageBreaks="0"/>
  </sheetPr>
  <dimension ref="A1:B88"/>
  <sheetViews>
    <sheetView workbookViewId="0">
      <selection activeCell="C2" sqref="C2"/>
    </sheetView>
  </sheetViews>
  <sheetFormatPr defaultRowHeight="15" x14ac:dyDescent="0.25"/>
  <cols>
    <col min="1" max="1" width="62.85546875" bestFit="1" customWidth="1"/>
  </cols>
  <sheetData>
    <row r="1" spans="1:2" x14ac:dyDescent="0.25">
      <c r="A1" s="23" t="s">
        <v>303</v>
      </c>
      <c r="B1" s="11" t="s">
        <v>302</v>
      </c>
    </row>
    <row r="2" spans="1:2" x14ac:dyDescent="0.25">
      <c r="A2" t="s">
        <v>203</v>
      </c>
      <c r="B2">
        <v>-6.5000000000000002E-2</v>
      </c>
    </row>
    <row r="3" spans="1:2" x14ac:dyDescent="0.25">
      <c r="A3" t="s">
        <v>204</v>
      </c>
      <c r="B3">
        <v>-0.13800000000000001</v>
      </c>
    </row>
    <row r="4" spans="1:2" x14ac:dyDescent="0.25">
      <c r="A4" t="s">
        <v>205</v>
      </c>
      <c r="B4">
        <v>2.5000000000000001E-2</v>
      </c>
    </row>
    <row r="5" spans="1:2" x14ac:dyDescent="0.25">
      <c r="A5" t="s">
        <v>206</v>
      </c>
      <c r="B5">
        <v>0.61699999999999999</v>
      </c>
    </row>
    <row r="6" spans="1:2" x14ac:dyDescent="0.25">
      <c r="A6" t="s">
        <v>207</v>
      </c>
      <c r="B6">
        <v>0.54400000000000004</v>
      </c>
    </row>
    <row r="7" spans="1:2" x14ac:dyDescent="0.25">
      <c r="A7" t="s">
        <v>208</v>
      </c>
      <c r="B7">
        <v>1.9E-2</v>
      </c>
    </row>
    <row r="8" spans="1:2" x14ac:dyDescent="0.25">
      <c r="A8" t="s">
        <v>209</v>
      </c>
      <c r="B8">
        <v>0</v>
      </c>
    </row>
    <row r="9" spans="1:2" x14ac:dyDescent="0.25">
      <c r="A9" t="s">
        <v>210</v>
      </c>
      <c r="B9">
        <v>0</v>
      </c>
    </row>
    <row r="10" spans="1:2" x14ac:dyDescent="0.25">
      <c r="A10" t="s">
        <v>211</v>
      </c>
      <c r="B10">
        <v>-0.106</v>
      </c>
    </row>
    <row r="11" spans="1:2" x14ac:dyDescent="0.25">
      <c r="A11" t="s">
        <v>212</v>
      </c>
      <c r="B11">
        <v>-8.8999999999999996E-2</v>
      </c>
    </row>
    <row r="12" spans="1:2" x14ac:dyDescent="0.25">
      <c r="A12" t="s">
        <v>213</v>
      </c>
      <c r="B12">
        <v>0.06</v>
      </c>
    </row>
    <row r="13" spans="1:2" x14ac:dyDescent="0.25">
      <c r="A13" t="s">
        <v>214</v>
      </c>
      <c r="B13">
        <v>0.36</v>
      </c>
    </row>
    <row r="14" spans="1:2" x14ac:dyDescent="0.25">
      <c r="A14" t="s">
        <v>215</v>
      </c>
      <c r="B14">
        <v>0.55500000000000005</v>
      </c>
    </row>
    <row r="15" spans="1:2" x14ac:dyDescent="0.25">
      <c r="A15" t="s">
        <v>216</v>
      </c>
      <c r="B15">
        <v>2.1999999999999999E-2</v>
      </c>
    </row>
    <row r="16" spans="1:2" x14ac:dyDescent="0.25">
      <c r="A16" t="s">
        <v>217</v>
      </c>
      <c r="B16">
        <v>-1.2999999999999999E-2</v>
      </c>
    </row>
    <row r="17" spans="1:2" x14ac:dyDescent="0.25">
      <c r="A17" t="s">
        <v>218</v>
      </c>
      <c r="B17">
        <v>-0.05</v>
      </c>
    </row>
    <row r="18" spans="1:2" x14ac:dyDescent="0.25">
      <c r="A18" t="s">
        <v>219</v>
      </c>
      <c r="B18">
        <v>-4.1000000000000002E-2</v>
      </c>
    </row>
    <row r="19" spans="1:2" x14ac:dyDescent="0.25">
      <c r="A19" t="s">
        <v>220</v>
      </c>
      <c r="B19">
        <v>0.111</v>
      </c>
    </row>
    <row r="20" spans="1:2" x14ac:dyDescent="0.25">
      <c r="A20" t="s">
        <v>221</v>
      </c>
      <c r="B20">
        <v>0.36</v>
      </c>
    </row>
    <row r="21" spans="1:2" x14ac:dyDescent="0.25">
      <c r="A21" t="s">
        <v>222</v>
      </c>
      <c r="B21">
        <v>0.55500000000000005</v>
      </c>
    </row>
    <row r="22" spans="1:2" x14ac:dyDescent="0.25">
      <c r="A22" t="s">
        <v>223</v>
      </c>
      <c r="B22">
        <v>2.7E-2</v>
      </c>
    </row>
    <row r="23" spans="1:2" x14ac:dyDescent="0.25">
      <c r="A23" t="s">
        <v>224</v>
      </c>
      <c r="B23">
        <v>-1.2999999999999999E-2</v>
      </c>
    </row>
    <row r="24" spans="1:2" x14ac:dyDescent="0.25">
      <c r="A24" t="s">
        <v>225</v>
      </c>
      <c r="B24">
        <v>-9.9000000000000005E-2</v>
      </c>
    </row>
    <row r="25" spans="1:2" x14ac:dyDescent="0.25">
      <c r="A25" t="s">
        <v>226</v>
      </c>
      <c r="B25">
        <v>-0.106</v>
      </c>
    </row>
    <row r="26" spans="1:2" x14ac:dyDescent="0.25">
      <c r="A26" t="s">
        <v>227</v>
      </c>
      <c r="B26">
        <v>0.106</v>
      </c>
    </row>
    <row r="27" spans="1:2" x14ac:dyDescent="0.25">
      <c r="A27" t="s">
        <v>228</v>
      </c>
      <c r="B27">
        <v>0.36</v>
      </c>
    </row>
    <row r="28" spans="1:2" x14ac:dyDescent="0.25">
      <c r="A28" t="s">
        <v>229</v>
      </c>
      <c r="B28">
        <v>0.55500000000000005</v>
      </c>
    </row>
    <row r="29" spans="1:2" x14ac:dyDescent="0.25">
      <c r="A29" t="s">
        <v>230</v>
      </c>
      <c r="B29">
        <v>2.7E-2</v>
      </c>
    </row>
    <row r="30" spans="1:2" x14ac:dyDescent="0.25">
      <c r="A30" t="s">
        <v>231</v>
      </c>
      <c r="B30">
        <v>-0.105</v>
      </c>
    </row>
    <row r="31" spans="1:2" x14ac:dyDescent="0.25">
      <c r="A31" t="s">
        <v>232</v>
      </c>
      <c r="B31">
        <v>-0.16700000000000001</v>
      </c>
    </row>
    <row r="32" spans="1:2" x14ac:dyDescent="0.25">
      <c r="A32" t="s">
        <v>233</v>
      </c>
      <c r="B32">
        <v>-1.0999999999999999E-2</v>
      </c>
    </row>
    <row r="33" spans="1:2" x14ac:dyDescent="0.25">
      <c r="A33" t="s">
        <v>234</v>
      </c>
      <c r="B33">
        <v>0.36</v>
      </c>
    </row>
    <row r="34" spans="1:2" x14ac:dyDescent="0.25">
      <c r="A34" t="s">
        <v>235</v>
      </c>
      <c r="B34">
        <v>0.55500000000000005</v>
      </c>
    </row>
    <row r="35" spans="1:2" x14ac:dyDescent="0.25">
      <c r="A35" t="s">
        <v>236</v>
      </c>
      <c r="B35">
        <v>2.5999999999999999E-2</v>
      </c>
    </row>
    <row r="36" spans="1:2" x14ac:dyDescent="0.25">
      <c r="A36" t="s">
        <v>237</v>
      </c>
      <c r="B36">
        <v>-4.0000000000000001E-3</v>
      </c>
    </row>
    <row r="37" spans="1:2" x14ac:dyDescent="0.25">
      <c r="A37" t="s">
        <v>238</v>
      </c>
      <c r="B37">
        <v>-5.7000000000000002E-2</v>
      </c>
    </row>
    <row r="38" spans="1:2" x14ac:dyDescent="0.25">
      <c r="A38" t="s">
        <v>239</v>
      </c>
      <c r="B38">
        <v>-7.9000000000000001E-2</v>
      </c>
    </row>
    <row r="39" spans="1:2" x14ac:dyDescent="0.25">
      <c r="A39" t="s">
        <v>240</v>
      </c>
      <c r="B39">
        <v>-5.5E-2</v>
      </c>
    </row>
    <row r="40" spans="1:2" x14ac:dyDescent="0.25">
      <c r="A40" t="s">
        <v>241</v>
      </c>
      <c r="B40">
        <v>1.7999999999999999E-2</v>
      </c>
    </row>
    <row r="41" spans="1:2" x14ac:dyDescent="0.25">
      <c r="A41" t="s">
        <v>242</v>
      </c>
      <c r="B41">
        <v>0.433</v>
      </c>
    </row>
    <row r="42" spans="1:2" x14ac:dyDescent="0.25">
      <c r="A42" t="s">
        <v>243</v>
      </c>
      <c r="B42">
        <v>0.71399999999999997</v>
      </c>
    </row>
    <row r="43" spans="1:2" x14ac:dyDescent="0.25">
      <c r="A43" t="s">
        <v>244</v>
      </c>
      <c r="B43">
        <v>0</v>
      </c>
    </row>
    <row r="44" spans="1:2" x14ac:dyDescent="0.25">
      <c r="A44" t="s">
        <v>245</v>
      </c>
      <c r="B44">
        <v>-0.05</v>
      </c>
    </row>
    <row r="45" spans="1:2" x14ac:dyDescent="0.25">
      <c r="A45" t="s">
        <v>246</v>
      </c>
      <c r="B45">
        <v>0</v>
      </c>
    </row>
    <row r="46" spans="1:2" x14ac:dyDescent="0.25">
      <c r="A46" t="s">
        <v>247</v>
      </c>
      <c r="B46">
        <v>0.4</v>
      </c>
    </row>
    <row r="47" spans="1:2" x14ac:dyDescent="0.25">
      <c r="A47" t="s">
        <v>248</v>
      </c>
      <c r="B47">
        <v>0.6</v>
      </c>
    </row>
    <row r="48" spans="1:2" x14ac:dyDescent="0.25">
      <c r="A48" t="s">
        <v>249</v>
      </c>
      <c r="B48">
        <v>-1.9E-2</v>
      </c>
    </row>
    <row r="49" spans="1:2" x14ac:dyDescent="0.25">
      <c r="A49" t="s">
        <v>250</v>
      </c>
      <c r="B49">
        <v>-9.0999999999999998E-2</v>
      </c>
    </row>
    <row r="50" spans="1:2" x14ac:dyDescent="0.25">
      <c r="A50" t="s">
        <v>251</v>
      </c>
      <c r="B50">
        <v>3.4000000000000002E-2</v>
      </c>
    </row>
    <row r="51" spans="1:2" x14ac:dyDescent="0.25">
      <c r="A51" t="s">
        <v>252</v>
      </c>
      <c r="B51">
        <v>0.26</v>
      </c>
    </row>
    <row r="52" spans="1:2" x14ac:dyDescent="0.25">
      <c r="A52" t="s">
        <v>253</v>
      </c>
      <c r="B52">
        <v>0.54400000000000004</v>
      </c>
    </row>
    <row r="53" spans="1:2" x14ac:dyDescent="0.25">
      <c r="A53" t="s">
        <v>254</v>
      </c>
      <c r="B53">
        <v>4.0000000000000001E-3</v>
      </c>
    </row>
    <row r="54" spans="1:2" x14ac:dyDescent="0.25">
      <c r="A54" t="s">
        <v>255</v>
      </c>
      <c r="B54">
        <v>-1.4999999999999999E-2</v>
      </c>
    </row>
    <row r="55" spans="1:2" x14ac:dyDescent="0.25">
      <c r="A55" t="s">
        <v>256</v>
      </c>
      <c r="B55">
        <v>8.5000000000000006E-2</v>
      </c>
    </row>
    <row r="56" spans="1:2" x14ac:dyDescent="0.25">
      <c r="A56" t="s">
        <v>257</v>
      </c>
      <c r="B56">
        <v>0.375</v>
      </c>
    </row>
    <row r="57" spans="1:2" x14ac:dyDescent="0.25">
      <c r="A57" t="s">
        <v>258</v>
      </c>
      <c r="B57">
        <v>0.20100000000000001</v>
      </c>
    </row>
    <row r="58" spans="1:2" x14ac:dyDescent="0.25">
      <c r="A58" t="s">
        <v>259</v>
      </c>
      <c r="B58">
        <v>0.51</v>
      </c>
    </row>
    <row r="59" spans="1:2" x14ac:dyDescent="0.25">
      <c r="A59" t="s">
        <v>260</v>
      </c>
      <c r="B59">
        <v>0.66400000000000003</v>
      </c>
    </row>
    <row r="60" spans="1:2" x14ac:dyDescent="0.25">
      <c r="A60" t="s">
        <v>261</v>
      </c>
      <c r="B60">
        <v>-0.30399999999999999</v>
      </c>
    </row>
    <row r="61" spans="1:2" x14ac:dyDescent="0.25">
      <c r="A61" t="s">
        <v>262</v>
      </c>
      <c r="B61">
        <v>0</v>
      </c>
    </row>
    <row r="62" spans="1:2" x14ac:dyDescent="0.25">
      <c r="A62" t="s">
        <v>263</v>
      </c>
      <c r="B62">
        <v>-0.50600000000000001</v>
      </c>
    </row>
    <row r="63" spans="1:2" x14ac:dyDescent="0.25">
      <c r="A63" t="s">
        <v>264</v>
      </c>
      <c r="B63">
        <v>0</v>
      </c>
    </row>
    <row r="64" spans="1:2" x14ac:dyDescent="0.25">
      <c r="A64" t="s">
        <v>265</v>
      </c>
      <c r="B64">
        <v>-0.187</v>
      </c>
    </row>
    <row r="65" spans="1:2" x14ac:dyDescent="0.25">
      <c r="A65" t="s">
        <v>266</v>
      </c>
      <c r="B65">
        <v>-9.8000000000000004E-2</v>
      </c>
    </row>
    <row r="66" spans="1:2" x14ac:dyDescent="0.25">
      <c r="A66" t="s">
        <v>267</v>
      </c>
      <c r="B66">
        <v>8.2000000000000003E-2</v>
      </c>
    </row>
    <row r="67" spans="1:2" x14ac:dyDescent="0.25">
      <c r="A67" t="s">
        <v>268</v>
      </c>
      <c r="B67">
        <v>0.54800000000000004</v>
      </c>
    </row>
    <row r="68" spans="1:2" x14ac:dyDescent="0.25">
      <c r="A68" t="s">
        <v>269</v>
      </c>
      <c r="B68">
        <v>0.73499999999999999</v>
      </c>
    </row>
    <row r="69" spans="1:2" x14ac:dyDescent="0.25">
      <c r="A69" t="s">
        <v>270</v>
      </c>
      <c r="B69">
        <v>1.9E-2</v>
      </c>
    </row>
    <row r="70" spans="1:2" x14ac:dyDescent="0.25">
      <c r="A70" t="s">
        <v>271</v>
      </c>
      <c r="B70">
        <v>0</v>
      </c>
    </row>
    <row r="71" spans="1:2" x14ac:dyDescent="0.25">
      <c r="A71" t="s">
        <v>272</v>
      </c>
      <c r="B71">
        <v>-5.8000000000000003E-2</v>
      </c>
    </row>
    <row r="72" spans="1:2" x14ac:dyDescent="0.25">
      <c r="A72" t="s">
        <v>273</v>
      </c>
      <c r="B72">
        <v>-9.8000000000000004E-2</v>
      </c>
    </row>
    <row r="73" spans="1:2" x14ac:dyDescent="0.25">
      <c r="A73" t="s">
        <v>274</v>
      </c>
      <c r="B73">
        <v>8.2000000000000003E-2</v>
      </c>
    </row>
    <row r="74" spans="1:2" x14ac:dyDescent="0.25">
      <c r="A74" t="s">
        <v>275</v>
      </c>
      <c r="B74">
        <v>0.54800000000000004</v>
      </c>
    </row>
    <row r="75" spans="1:2" x14ac:dyDescent="0.25">
      <c r="A75" t="s">
        <v>276</v>
      </c>
      <c r="B75">
        <v>0.73499999999999999</v>
      </c>
    </row>
    <row r="76" spans="1:2" x14ac:dyDescent="0.25">
      <c r="A76" t="s">
        <v>277</v>
      </c>
      <c r="B76">
        <v>1.9E-2</v>
      </c>
    </row>
    <row r="77" spans="1:2" x14ac:dyDescent="0.25">
      <c r="A77" t="s">
        <v>278</v>
      </c>
      <c r="B77">
        <v>0</v>
      </c>
    </row>
    <row r="78" spans="1:2" x14ac:dyDescent="0.25">
      <c r="A78" t="s">
        <v>279</v>
      </c>
      <c r="B78">
        <v>-5.8000000000000003E-2</v>
      </c>
    </row>
    <row r="79" spans="1:2" x14ac:dyDescent="0.25">
      <c r="A79" t="s">
        <v>280</v>
      </c>
      <c r="B79">
        <v>-0.187</v>
      </c>
    </row>
    <row r="80" spans="1:2" x14ac:dyDescent="0.25">
      <c r="A80" t="s">
        <v>281</v>
      </c>
      <c r="B80">
        <v>8.2000000000000003E-2</v>
      </c>
    </row>
    <row r="81" spans="1:2" x14ac:dyDescent="0.25">
      <c r="A81" t="s">
        <v>282</v>
      </c>
      <c r="B81">
        <v>0.54800000000000004</v>
      </c>
    </row>
    <row r="82" spans="1:2" x14ac:dyDescent="0.25">
      <c r="A82" t="s">
        <v>283</v>
      </c>
      <c r="B82">
        <v>0.73499999999999999</v>
      </c>
    </row>
    <row r="83" spans="1:2" x14ac:dyDescent="0.25">
      <c r="A83" t="s">
        <v>284</v>
      </c>
      <c r="B83">
        <v>1.9E-2</v>
      </c>
    </row>
    <row r="84" spans="1:2" x14ac:dyDescent="0.25">
      <c r="A84" t="s">
        <v>285</v>
      </c>
      <c r="B84">
        <v>0</v>
      </c>
    </row>
    <row r="85" spans="1:2" x14ac:dyDescent="0.25">
      <c r="A85" t="s">
        <v>286</v>
      </c>
      <c r="B85">
        <v>-5.8000000000000003E-2</v>
      </c>
    </row>
    <row r="86" spans="1:2" x14ac:dyDescent="0.25">
      <c r="A86" t="s">
        <v>287</v>
      </c>
      <c r="B86">
        <v>0.25800000000000001</v>
      </c>
    </row>
    <row r="87" spans="1:2" x14ac:dyDescent="0.25">
      <c r="A87" t="s">
        <v>288</v>
      </c>
      <c r="B87">
        <v>0.25800000000000001</v>
      </c>
    </row>
    <row r="88" spans="1:2" x14ac:dyDescent="0.25">
      <c r="A88" t="s">
        <v>289</v>
      </c>
      <c r="B88">
        <v>0.25800000000000001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CB103-0607-4914-B43F-DB708D2A59A6}">
  <sheetPr>
    <pageSetUpPr autoPageBreaks="0"/>
  </sheetPr>
  <dimension ref="A1:T18"/>
  <sheetViews>
    <sheetView workbookViewId="0">
      <selection activeCell="C2" sqref="C2"/>
    </sheetView>
  </sheetViews>
  <sheetFormatPr defaultRowHeight="15" x14ac:dyDescent="0.25"/>
  <sheetData>
    <row r="1" spans="1:20" x14ac:dyDescent="0.25">
      <c r="A1" t="s">
        <v>290</v>
      </c>
      <c r="B1" t="s">
        <v>26</v>
      </c>
      <c r="C1" t="s">
        <v>25</v>
      </c>
      <c r="D1" t="s">
        <v>24</v>
      </c>
      <c r="E1" t="s">
        <v>291</v>
      </c>
      <c r="F1" t="s">
        <v>292</v>
      </c>
      <c r="G1" t="s">
        <v>27</v>
      </c>
      <c r="H1" t="s">
        <v>28</v>
      </c>
      <c r="I1" t="s">
        <v>23</v>
      </c>
      <c r="J1" t="s">
        <v>29</v>
      </c>
      <c r="K1" t="s">
        <v>37</v>
      </c>
    </row>
    <row r="2" spans="1:20" x14ac:dyDescent="0.25">
      <c r="A2" t="s">
        <v>21</v>
      </c>
      <c r="B2" t="s">
        <v>249</v>
      </c>
      <c r="C2" t="s">
        <v>250</v>
      </c>
      <c r="D2" t="s">
        <v>251</v>
      </c>
      <c r="E2" t="s">
        <v>252</v>
      </c>
      <c r="F2" t="s">
        <v>253</v>
      </c>
      <c r="G2" t="s">
        <v>254</v>
      </c>
      <c r="H2" t="s">
        <v>255</v>
      </c>
      <c r="I2" t="s">
        <v>256</v>
      </c>
      <c r="J2" s="21" t="e">
        <v>#N/A</v>
      </c>
      <c r="K2" s="21" t="e">
        <v>#N/A</v>
      </c>
    </row>
    <row r="3" spans="1:20" x14ac:dyDescent="0.25">
      <c r="A3" t="s">
        <v>293</v>
      </c>
      <c r="B3" t="s">
        <v>257</v>
      </c>
      <c r="C3" s="21" t="e">
        <v>#N/A</v>
      </c>
      <c r="D3" t="s">
        <v>258</v>
      </c>
      <c r="E3" t="s">
        <v>259</v>
      </c>
      <c r="F3" t="s">
        <v>260</v>
      </c>
      <c r="G3" t="s">
        <v>261</v>
      </c>
      <c r="H3" s="21" t="e">
        <v>#N/A</v>
      </c>
      <c r="I3" t="s">
        <v>263</v>
      </c>
      <c r="J3" t="s">
        <v>262</v>
      </c>
      <c r="K3" t="s">
        <v>264</v>
      </c>
    </row>
    <row r="7" spans="1:20" x14ac:dyDescent="0.25">
      <c r="B7" t="s">
        <v>26</v>
      </c>
      <c r="C7" t="s">
        <v>25</v>
      </c>
      <c r="D7" t="s">
        <v>24</v>
      </c>
      <c r="E7" t="s">
        <v>291</v>
      </c>
      <c r="F7" t="s">
        <v>292</v>
      </c>
      <c r="G7" t="s">
        <v>27</v>
      </c>
      <c r="H7" t="s">
        <v>28</v>
      </c>
      <c r="I7" t="s">
        <v>23</v>
      </c>
      <c r="J7" t="s">
        <v>29</v>
      </c>
      <c r="K7" t="s">
        <v>37</v>
      </c>
    </row>
    <row r="8" spans="1:20" x14ac:dyDescent="0.25">
      <c r="A8" t="s">
        <v>21</v>
      </c>
      <c r="B8">
        <f>VLOOKUP(B2,TMWeights!$A:$B,2,FALSE)</f>
        <v>-1.9E-2</v>
      </c>
      <c r="C8">
        <f>VLOOKUP(C2,TMWeights!$A:$B,2,FALSE)</f>
        <v>-9.0999999999999998E-2</v>
      </c>
      <c r="D8">
        <f>VLOOKUP(D2,TMWeights!$A:$B,2,FALSE)</f>
        <v>3.4000000000000002E-2</v>
      </c>
      <c r="E8">
        <f>VLOOKUP(E2,TMWeights!$A:$B,2,FALSE)</f>
        <v>0.26</v>
      </c>
      <c r="F8">
        <f>VLOOKUP(F2,TMWeights!$A:$B,2,FALSE)</f>
        <v>0.54400000000000004</v>
      </c>
      <c r="G8">
        <f>VLOOKUP(G2,TMWeights!$A:$B,2,FALSE)</f>
        <v>4.0000000000000001E-3</v>
      </c>
      <c r="H8">
        <f>VLOOKUP(H2,TMWeights!$A:$B,2,FALSE)</f>
        <v>-1.4999999999999999E-2</v>
      </c>
      <c r="I8">
        <f>VLOOKUP(I2,TMWeights!$A:$B,2,FALSE)</f>
        <v>8.5000000000000006E-2</v>
      </c>
      <c r="J8" s="21" t="e">
        <f>VLOOKUP(J2,TMWeights!$A:$B,2,FALSE)</f>
        <v>#N/A</v>
      </c>
      <c r="K8" s="21" t="e">
        <f>VLOOKUP(K2,TMWeights!$A:$B,2,FALSE)</f>
        <v>#N/A</v>
      </c>
    </row>
    <row r="9" spans="1:20" x14ac:dyDescent="0.25">
      <c r="A9" t="s">
        <v>293</v>
      </c>
      <c r="B9">
        <f>VLOOKUP(B3,TMWeights!$A:$B,2,FALSE)</f>
        <v>0.375</v>
      </c>
      <c r="C9" s="21" t="e">
        <f>VLOOKUP(C3,TMWeights!$A:$B,2,FALSE)</f>
        <v>#N/A</v>
      </c>
      <c r="D9">
        <f>VLOOKUP(D3,TMWeights!$A:$B,2,FALSE)</f>
        <v>0.20100000000000001</v>
      </c>
      <c r="E9">
        <f>VLOOKUP(E3,TMWeights!$A:$B,2,FALSE)</f>
        <v>0.51</v>
      </c>
      <c r="F9">
        <f>VLOOKUP(F3,TMWeights!$A:$B,2,FALSE)</f>
        <v>0.66400000000000003</v>
      </c>
      <c r="G9" s="38">
        <f>VLOOKUP(G3,TMWeights!$A:$B,2,FALSE)</f>
        <v>-0.30399999999999999</v>
      </c>
      <c r="H9" s="21" t="e">
        <f>VLOOKUP(H3,TMWeights!$A:$B,2,FALSE)</f>
        <v>#N/A</v>
      </c>
      <c r="I9">
        <f>VLOOKUP(I3,TMWeights!$A:$B,2,FALSE)</f>
        <v>-0.50600000000000001</v>
      </c>
      <c r="J9" s="24">
        <f>VLOOKUP(J3,TMWeights!$A:$B,2,FALSE)</f>
        <v>0</v>
      </c>
      <c r="K9" s="24">
        <f>VLOOKUP(K3,TMWeights!$A:$B,2,FALSE)</f>
        <v>0</v>
      </c>
    </row>
    <row r="12" spans="1:20" ht="15.75" thickBot="1" x14ac:dyDescent="0.3"/>
    <row r="13" spans="1:20" x14ac:dyDescent="0.25">
      <c r="A13" s="25" t="s">
        <v>178</v>
      </c>
      <c r="B13" s="26" t="s">
        <v>26</v>
      </c>
      <c r="C13" s="26" t="s">
        <v>25</v>
      </c>
      <c r="D13" s="26" t="s">
        <v>24</v>
      </c>
      <c r="E13" s="26" t="s">
        <v>291</v>
      </c>
      <c r="F13" s="26" t="s">
        <v>292</v>
      </c>
      <c r="G13" s="26" t="s">
        <v>27</v>
      </c>
      <c r="H13" s="26" t="s">
        <v>28</v>
      </c>
      <c r="I13" s="26" t="s">
        <v>23</v>
      </c>
      <c r="J13" s="26" t="s">
        <v>29</v>
      </c>
      <c r="K13" s="26" t="s">
        <v>37</v>
      </c>
      <c r="L13" s="27" t="s">
        <v>41</v>
      </c>
    </row>
    <row r="14" spans="1:20" x14ac:dyDescent="0.25">
      <c r="A14" s="19" t="s">
        <v>185</v>
      </c>
      <c r="B14">
        <f>HOLtoFRI!H20</f>
        <v>0</v>
      </c>
      <c r="C14">
        <f>HOLtoFRI!G20</f>
        <v>0</v>
      </c>
      <c r="D14">
        <f>HOLtoFRI!F20</f>
        <v>0</v>
      </c>
      <c r="E14">
        <f>HOLtoFRI!V12</f>
        <v>0</v>
      </c>
      <c r="F14">
        <f>HOLtoFRI!W12</f>
        <v>0</v>
      </c>
      <c r="G14">
        <f>HOLtoFRI!I20</f>
        <v>0</v>
      </c>
      <c r="H14">
        <f>HOLtoFRI!J20</f>
        <v>0</v>
      </c>
      <c r="I14">
        <f>HOLtoFRI!E20</f>
        <v>0</v>
      </c>
      <c r="J14" s="21"/>
      <c r="K14" s="21"/>
      <c r="L14" s="20"/>
    </row>
    <row r="15" spans="1:20" x14ac:dyDescent="0.25">
      <c r="A15" s="19" t="s">
        <v>182</v>
      </c>
      <c r="B15">
        <f>B14*B8</f>
        <v>0</v>
      </c>
      <c r="C15">
        <f t="shared" ref="C15:I15" si="0">C14*C8</f>
        <v>0</v>
      </c>
      <c r="D15">
        <f t="shared" si="0"/>
        <v>0</v>
      </c>
      <c r="E15">
        <f t="shared" si="0"/>
        <v>0</v>
      </c>
      <c r="F15">
        <f t="shared" si="0"/>
        <v>0</v>
      </c>
      <c r="G15">
        <f t="shared" si="0"/>
        <v>0</v>
      </c>
      <c r="H15">
        <f t="shared" si="0"/>
        <v>0</v>
      </c>
      <c r="I15">
        <f t="shared" si="0"/>
        <v>0</v>
      </c>
      <c r="J15" s="21"/>
      <c r="K15" s="21"/>
      <c r="L15" s="20">
        <f>SUM(B15:I15)</f>
        <v>0</v>
      </c>
      <c r="M15" s="32" t="s">
        <v>294</v>
      </c>
      <c r="N15" s="32"/>
      <c r="O15" s="32"/>
      <c r="P15" s="32"/>
      <c r="Q15" s="32"/>
      <c r="R15" s="32"/>
      <c r="S15" s="32"/>
      <c r="T15" s="32"/>
    </row>
    <row r="16" spans="1:20" x14ac:dyDescent="0.25">
      <c r="A16" s="19"/>
      <c r="L16" s="20"/>
    </row>
    <row r="17" spans="1:14" x14ac:dyDescent="0.25">
      <c r="A17" s="19" t="s">
        <v>184</v>
      </c>
      <c r="B17">
        <f>FRItoHOL!H22</f>
        <v>0</v>
      </c>
      <c r="C17" s="21"/>
      <c r="D17">
        <f>FRItoHOL!F22</f>
        <v>0</v>
      </c>
      <c r="E17">
        <f>FRItoHOL!V14</f>
        <v>-1.6</v>
      </c>
      <c r="F17">
        <f>FRItoHOL!W14</f>
        <v>-4.2</v>
      </c>
      <c r="G17" s="38">
        <f>FRItoHOL!I14</f>
        <v>0.04</v>
      </c>
      <c r="H17" s="21"/>
      <c r="I17">
        <f>IF(FRItoHOL!E22&lt;0,0,FRItoHOL!E22)</f>
        <v>0</v>
      </c>
      <c r="J17" s="24"/>
      <c r="K17" s="24"/>
      <c r="L17" s="20"/>
      <c r="M17" t="s">
        <v>296</v>
      </c>
    </row>
    <row r="18" spans="1:14" x14ac:dyDescent="0.25">
      <c r="A18" s="28" t="s">
        <v>183</v>
      </c>
      <c r="B18" s="29">
        <f>B17*B9</f>
        <v>0</v>
      </c>
      <c r="C18" s="30"/>
      <c r="D18" s="29">
        <f t="shared" ref="D18:I18" si="1">D17*D9</f>
        <v>0</v>
      </c>
      <c r="E18" s="29">
        <f t="shared" si="1"/>
        <v>-0.81600000000000006</v>
      </c>
      <c r="F18" s="29">
        <f t="shared" si="1"/>
        <v>-2.7888000000000002</v>
      </c>
      <c r="G18" s="39">
        <f>ABS(G17)*G9</f>
        <v>-1.2160000000000001E-2</v>
      </c>
      <c r="H18" s="30"/>
      <c r="I18" s="29">
        <f t="shared" si="1"/>
        <v>0</v>
      </c>
      <c r="J18" s="31"/>
      <c r="K18" s="31"/>
      <c r="L18" s="34">
        <f>SUM(B18:I18)</f>
        <v>-3.6169600000000002</v>
      </c>
      <c r="M18" s="38" t="s">
        <v>304</v>
      </c>
      <c r="N18" s="38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2817-C5E6-4433-807F-6C9EB38BBB3F}">
  <sheetPr>
    <pageSetUpPr autoPageBreaks="0"/>
  </sheetPr>
  <dimension ref="A1:C22"/>
  <sheetViews>
    <sheetView workbookViewId="0">
      <selection activeCell="C2" sqref="C2"/>
    </sheetView>
  </sheetViews>
  <sheetFormatPr defaultRowHeight="15" x14ac:dyDescent="0.25"/>
  <cols>
    <col min="1" max="1" width="70.42578125" bestFit="1" customWidth="1"/>
    <col min="3" max="3" width="10.7109375" style="12" bestFit="1" customWidth="1"/>
  </cols>
  <sheetData>
    <row r="1" spans="1:3" x14ac:dyDescent="0.25">
      <c r="A1" s="11" t="s">
        <v>171</v>
      </c>
      <c r="B1" t="s">
        <v>149</v>
      </c>
      <c r="C1" s="12" t="s">
        <v>53</v>
      </c>
    </row>
    <row r="2" spans="1:3" x14ac:dyDescent="0.25">
      <c r="A2" t="s">
        <v>150</v>
      </c>
      <c r="B2">
        <v>4.91</v>
      </c>
      <c r="C2" s="13">
        <v>45362.928533020837</v>
      </c>
    </row>
    <row r="3" spans="1:3" x14ac:dyDescent="0.25">
      <c r="A3" t="s">
        <v>151</v>
      </c>
      <c r="B3">
        <v>-2.4</v>
      </c>
      <c r="C3" s="13">
        <v>45362.928533020837</v>
      </c>
    </row>
    <row r="4" spans="1:3" x14ac:dyDescent="0.25">
      <c r="A4" t="s">
        <v>152</v>
      </c>
      <c r="B4">
        <v>33.5</v>
      </c>
      <c r="C4" s="13">
        <v>45362.928533217593</v>
      </c>
    </row>
    <row r="5" spans="1:3" x14ac:dyDescent="0.25">
      <c r="A5" t="s">
        <v>153</v>
      </c>
      <c r="B5">
        <v>-0.1</v>
      </c>
      <c r="C5" s="13">
        <v>44246.398064930552</v>
      </c>
    </row>
    <row r="6" spans="1:3" x14ac:dyDescent="0.25">
      <c r="A6" t="s">
        <v>154</v>
      </c>
      <c r="B6">
        <v>0</v>
      </c>
      <c r="C6" s="13">
        <v>44286.669613194441</v>
      </c>
    </row>
    <row r="7" spans="1:3" x14ac:dyDescent="0.25">
      <c r="A7" t="s">
        <v>155</v>
      </c>
      <c r="B7">
        <v>-1</v>
      </c>
      <c r="C7" s="13">
        <v>44286.66922329861</v>
      </c>
    </row>
    <row r="8" spans="1:3" x14ac:dyDescent="0.25">
      <c r="A8" t="s">
        <v>156</v>
      </c>
      <c r="B8">
        <v>-0.14000000000000001</v>
      </c>
      <c r="C8" s="13">
        <v>45362.928533217593</v>
      </c>
    </row>
    <row r="9" spans="1:3" x14ac:dyDescent="0.25">
      <c r="A9" t="s">
        <v>157</v>
      </c>
      <c r="B9">
        <v>961</v>
      </c>
      <c r="C9" s="13">
        <v>45362.928533368053</v>
      </c>
    </row>
    <row r="10" spans="1:3" x14ac:dyDescent="0.25">
      <c r="A10" t="s">
        <v>158</v>
      </c>
      <c r="B10">
        <v>29.1</v>
      </c>
      <c r="C10" s="13">
        <v>45362.928533368053</v>
      </c>
    </row>
    <row r="11" spans="1:3" x14ac:dyDescent="0.25">
      <c r="A11" t="s">
        <v>159</v>
      </c>
      <c r="B11">
        <v>-0.04</v>
      </c>
      <c r="C11" s="13">
        <v>44246.399850231479</v>
      </c>
    </row>
    <row r="12" spans="1:3" x14ac:dyDescent="0.25">
      <c r="A12" t="s">
        <v>160</v>
      </c>
      <c r="B12">
        <v>-7</v>
      </c>
      <c r="C12" s="13">
        <v>45362.928533368053</v>
      </c>
    </row>
    <row r="13" spans="1:3" x14ac:dyDescent="0.25">
      <c r="A13" t="s">
        <v>161</v>
      </c>
      <c r="B13">
        <v>33.5</v>
      </c>
      <c r="C13" s="13">
        <v>45362.928533217593</v>
      </c>
    </row>
    <row r="14" spans="1:3" x14ac:dyDescent="0.25">
      <c r="A14" t="s">
        <v>162</v>
      </c>
      <c r="B14">
        <v>-0.1</v>
      </c>
      <c r="C14" s="13">
        <v>44246.403811655095</v>
      </c>
    </row>
    <row r="15" spans="1:3" x14ac:dyDescent="0.25">
      <c r="A15" t="s">
        <v>163</v>
      </c>
      <c r="B15">
        <v>0</v>
      </c>
      <c r="C15" s="13">
        <v>44286.669765625003</v>
      </c>
    </row>
    <row r="16" spans="1:3" x14ac:dyDescent="0.25">
      <c r="A16" t="s">
        <v>164</v>
      </c>
      <c r="B16">
        <v>-1</v>
      </c>
      <c r="C16" s="13">
        <v>44286.669399155093</v>
      </c>
    </row>
    <row r="17" spans="1:3" x14ac:dyDescent="0.25">
      <c r="A17" t="s">
        <v>165</v>
      </c>
      <c r="B17">
        <v>-0.14000000000000001</v>
      </c>
      <c r="C17" s="13">
        <v>45362.928533217593</v>
      </c>
    </row>
    <row r="18" spans="1:3" x14ac:dyDescent="0.25">
      <c r="A18" t="s">
        <v>166</v>
      </c>
      <c r="B18">
        <v>961</v>
      </c>
      <c r="C18" s="13">
        <v>45362.928533368053</v>
      </c>
    </row>
    <row r="19" spans="1:3" x14ac:dyDescent="0.25">
      <c r="A19" t="s">
        <v>167</v>
      </c>
      <c r="B19">
        <v>29.1</v>
      </c>
      <c r="C19" s="13">
        <v>45362.928533368053</v>
      </c>
    </row>
    <row r="20" spans="1:3" x14ac:dyDescent="0.25">
      <c r="A20" t="s">
        <v>168</v>
      </c>
      <c r="B20">
        <v>-0.04</v>
      </c>
      <c r="C20" s="13">
        <v>44246.402517858798</v>
      </c>
    </row>
    <row r="21" spans="1:3" x14ac:dyDescent="0.25">
      <c r="A21" t="s">
        <v>169</v>
      </c>
      <c r="B21">
        <v>-7</v>
      </c>
      <c r="C21" s="13">
        <v>45362.928533368053</v>
      </c>
    </row>
    <row r="22" spans="1:3" x14ac:dyDescent="0.25">
      <c r="A22" t="s">
        <v>170</v>
      </c>
      <c r="B22">
        <v>-155</v>
      </c>
      <c r="C22" s="13">
        <v>44411.622598761576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HOLtoFRI</vt:lpstr>
      <vt:lpstr>FRItoHOL</vt:lpstr>
      <vt:lpstr>Date</vt:lpstr>
      <vt:lpstr>PLI_REVs</vt:lpstr>
      <vt:lpstr>Type</vt:lpstr>
      <vt:lpstr>Type calc</vt:lpstr>
      <vt:lpstr>TMWeights</vt:lpstr>
      <vt:lpstr>TMWeightings</vt:lpstr>
      <vt:lpstr>Production</vt:lpstr>
      <vt:lpstr>Production 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Pitt</dc:creator>
  <cp:lastModifiedBy>Daniel Pitt</cp:lastModifiedBy>
  <dcterms:created xsi:type="dcterms:W3CDTF">2015-06-05T18:17:20Z</dcterms:created>
  <dcterms:modified xsi:type="dcterms:W3CDTF">2025-03-27T14:03:18Z</dcterms:modified>
</cp:coreProperties>
</file>